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грудень" sheetId="1" r:id="rId1"/>
    <sheet name="листопад" sheetId="2" r:id="rId2"/>
    <sheet name="жовтень" sheetId="3" r:id="rId3"/>
    <sheet name="вересень" sheetId="4" r:id="rId4"/>
    <sheet name="серпень" sheetId="5" r:id="rId5"/>
    <sheet name="липень" sheetId="6" r:id="rId6"/>
    <sheet name="червень" sheetId="7" r:id="rId7"/>
    <sheet name="травень" sheetId="8" r:id="rId8"/>
    <sheet name="квітень" sheetId="9" r:id="rId9"/>
    <sheet name="березень" sheetId="10" r:id="rId10"/>
    <sheet name="лютий" sheetId="11" r:id="rId11"/>
    <sheet name="січень " sheetId="12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<sst xmlns="http://schemas.openxmlformats.org/spreadsheetml/2006/main" count="2441" uniqueCount="311">
  <si>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</si>
  <si>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</si>
  <si>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</si>
  <si>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</si>
  <si>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</si>
  <si>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</si>
  <si>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</si>
  <si>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</si>
  <si>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</si>
  <si>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</si>
  <si>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</si>
  <si>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</si>
  <si>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</si>
  <si>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</si>
  <si>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</si>
  <si>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</si>
  <si>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</si>
  <si>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</si>
  <si>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</si>
  <si>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</si>
  <si>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</si>
  <si>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</si>
  <si>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</si>
  <si>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</si>
  <si>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</si>
  <si>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</si>
  <si>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</si>
  <si>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</si>
  <si>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</si>
  <si>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</si>
  <si>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</si>
  <si>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</si>
  <si>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</si>
  <si>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</si>
  <si>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</si>
  <si>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</si>
  <si>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</si>
  <si>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</si>
  <si>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</si>
  <si>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</si>
  <si>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</si>
  <si>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</si>
  <si>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</si>
  <si>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</si>
  <si>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</si>
  <si>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</si>
  <si>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</si>
  <si>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</si>
  <si>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</si>
  <si>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</si>
  <si>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</si>
  <si>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</si>
  <si>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</si>
  <si>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</si>
  <si>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</si>
  <si>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</si>
  <si>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</si>
  <si>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</si>
  <si>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</si>
  <si>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</si>
  <si>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</si>
  <si>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</si>
  <si>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</si>
  <si>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</si>
  <si>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</si>
  <si>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</si>
  <si>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</si>
  <si>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</si>
  <si>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</si>
  <si>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</si>
  <si>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</si>
  <si>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</si>
  <si>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</si>
  <si>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</si>
  <si>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</si>
  <si>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</si>
  <si>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</si>
  <si>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</si>
  <si>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</si>
  <si>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</si>
  <si>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</si>
  <si>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</si>
  <si>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</si>
  <si>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</si>
  <si>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</si>
  <si>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</si>
  <si>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</si>
  <si>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</si>
  <si>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</si>
  <si>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</si>
  <si>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</si>
  <si>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</si>
  <si>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</si>
  <si>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</si>
  <si>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</si>
  <si>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</si>
  <si>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</si>
  <si>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</si>
  <si>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</si>
  <si>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</si>
  <si>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</si>
  <si>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</si>
  <si>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</si>
  <si>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</si>
  <si>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</si>
  <si>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</si>
  <si>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</si>
  <si>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</si>
  <si>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</si>
  <si>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</si>
  <si>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</si>
  <si>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</si>
  <si>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</si>
  <si>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</si>
  <si>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</si>
  <si>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</si>
  <si>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</si>
  <si>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</si>
  <si>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</si>
  <si>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</si>
  <si>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</si>
  <si>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</si>
  <si>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</si>
  <si>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</si>
  <si>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</si>
  <si>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</si>
  <si>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</si>
  <si>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</si>
  <si>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</si>
  <si>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</si>
  <si>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</si>
  <si>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</si>
  <si>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</si>
  <si>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</si>
  <si>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</si>
  <si>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</si>
  <si>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</si>
  <si>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</si>
  <si>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</si>
  <si>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</si>
  <si>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</si>
  <si>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</si>
  <si>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</si>
  <si>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</si>
  <si>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</si>
  <si>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</si>
  <si>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</si>
  <si>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</si>
  <si>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</si>
  <si>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</si>
  <si>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</si>
  <si>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</si>
  <si>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</si>
  <si>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</si>
  <si>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</si>
  <si>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</si>
  <si>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</si>
  <si>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</si>
  <si>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</si>
  <si>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</si>
  <si>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</si>
  <si>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</si>
  <si>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</si>
  <si>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</si>
  <si>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</si>
  <si>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</si>
  <si>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</si>
  <si>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</si>
  <si>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</si>
  <si>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</si>
  <si>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</si>
  <si>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</si>
  <si>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</si>
  <si>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</si>
  <si>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</si>
  <si>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</si>
  <si>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</si>
  <si>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</si>
  <si>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</si>
  <si>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</si>
  <si>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</si>
  <si>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</si>
  <si>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</si>
  <si>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</si>
  <si>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</si>
  <si>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</si>
  <si>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</si>
  <si>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</si>
  <si>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</si>
  <si>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</si>
  <si>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</si>
  <si>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</si>
  <si>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</si>
  <si>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</si>
  <si>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</si>
  <si>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</si>
  <si>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</si>
  <si>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</si>
  <si>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</si>
  <si>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</si>
  <si>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</si>
  <si>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</si>
  <si>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</si>
  <si>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</si>
  <si>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</si>
  <si>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</si>
  <si>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</si>
  <si>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</si>
  <si>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</si>
  <si>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</si>
  <si>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</si>
  <si>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</si>
  <si>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</si>
  <si>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</si>
  <si>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</si>
  <si>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</si>
  <si>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</si>
  <si>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</si>
  <si>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</si>
  <si>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</si>
  <si>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</si>
  <si>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</si>
  <si>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</si>
  <si>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</si>
  <si>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</si>
  <si>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</si>
  <si>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</si>
  <si>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</si>
  <si>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</si>
  <si>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</si>
  <si>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</si>
  <si>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</si>
  <si>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</si>
  <si>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</si>
  <si>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</si>
  <si>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</si>
  <si>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</si>
  <si>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</si>
  <si>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</si>
  <si>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</si>
  <si>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</si>
  <si>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</si>
  <si>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</si>
  <si>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</si>
  <si>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</si>
  <si>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</si>
  <si>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</si>
  <si>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</si>
  <si>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</si>
  <si>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</si>
  <si>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</si>
  <si>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</si>
  <si>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</si>
  <si>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</si>
  <si>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</si>
  <si>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</si>
  <si>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</si>
  <si>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</si>
  <si>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</si>
  <si>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</si>
  <si>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</si>
  <si>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</si>
  <si>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</si>
  <si>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</si>
  <si>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</si>
  <si>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</si>
  <si>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</si>
  <si>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</si>
  <si>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</si>
  <si>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</si>
  <si>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</si>
  <si>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</si>
  <si>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</si>
  <si>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</si>
  <si>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</si>
  <si>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</si>
  <si>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</si>
  <si>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</si>
  <si>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січень-жовтень</t>
  </si>
  <si>
    <t>Відхилення до плану на січень-жовтень</t>
  </si>
  <si>
    <t>% виконання до плану на січень-жовтень</t>
  </si>
  <si>
    <t>на жовтень  місяць</t>
  </si>
  <si>
    <t>Виконано у жовтні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</si>
  <si>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(січень-вересень)</t>
    </r>
  </si>
  <si>
    <t>16010000   18000000</t>
  </si>
  <si>
    <t>Динаміка  фактичних надходжень січень-жовтень 2013 та 2014 років</t>
  </si>
  <si>
    <t>16010000  18000000</t>
  </si>
  <si>
    <t>Динаміка  фактичних надходжень жовтень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</si>
  <si>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</si>
  <si>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31.10.14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</si>
  <si>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січень-листопад</t>
  </si>
  <si>
    <t>Відхилення до плану на січень-листопад</t>
  </si>
  <si>
    <t>Динаміка  фактичних надходжень січень-листопад 2013 та 2014 років</t>
  </si>
  <si>
    <t>на листопад  місяць</t>
  </si>
  <si>
    <t>Виконано у листопаді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</si>
  <si>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(січень-жовтень)</t>
    </r>
  </si>
  <si>
    <t>Динаміка  фактичних надходжень листопад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</si>
  <si>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01.12.2014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</si>
  <si>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28.11.14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</si>
  <si>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січень-грудень</t>
  </si>
  <si>
    <t>Відхилення до плану на січень-грудень</t>
  </si>
  <si>
    <t>% виконання до плану на січень-листопад</t>
  </si>
  <si>
    <t>% виконання до плану на січень-грудень</t>
  </si>
  <si>
    <t>Виконано у грудні</t>
  </si>
  <si>
    <t>на грудень  місяць</t>
  </si>
  <si>
    <t>Динаміка  фактичних надходжень грудень 2013 та 2014 років</t>
  </si>
  <si>
    <t>Динаміка  фактичних надходжень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</si>
  <si>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(січень-листопад)</t>
    </r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</si>
  <si>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(тис.грн)  -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</si>
  <si>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11.12.2014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</si>
  <si>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10.12.14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</si>
</sst>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3" fontId="7" fillId="0" borderId="1" xfId="20" applyNumberFormat="1" applyFont="1" applyBorder="1" applyAlignment="1" applyProtection="1">
      <alignment horizontal="center" vertical="center" wrapText="1"/>
      <protection/>
    </xf>
    <xf numFmtId="3" fontId="4" fillId="0" borderId="1" xfId="20" applyNumberFormat="1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9" fontId="7" fillId="0" borderId="8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12"/>
      <sheetName val="депозит"/>
      <sheetName val="залишки  (2)"/>
      <sheetName val="надх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1"/>
      <sheetName val="повернення по окремим платникам"/>
    </sheetNames>
    <sheetDataSet>
      <sheetData sheetId="13">
        <row r="8">
          <cell r="G8">
            <v>0</v>
          </cell>
        </row>
        <row r="9">
          <cell r="G9">
            <v>8909732.21</v>
          </cell>
        </row>
      </sheetData>
      <sheetData sheetId="14">
        <row r="52">
          <cell r="B52">
            <v>0</v>
          </cell>
        </row>
      </sheetData>
      <sheetData sheetId="24">
        <row r="28">
          <cell r="C28">
            <v>4870376.3</v>
          </cell>
        </row>
      </sheetData>
      <sheetData sheetId="25">
        <row r="28">
          <cell r="C28">
            <v>3219411</v>
          </cell>
        </row>
      </sheetData>
      <sheetData sheetId="26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J149" sqref="J149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hidden="1" customWidth="1"/>
    <col min="6" max="6" width="11.25390625" style="4" customWidth="1"/>
    <col min="7" max="7" width="11.875" style="4" hidden="1" customWidth="1"/>
    <col min="8" max="8" width="10.375" style="4" hidden="1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3" t="s">
        <v>309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303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300</v>
      </c>
      <c r="H4" s="200" t="s">
        <v>302</v>
      </c>
      <c r="I4" s="202" t="s">
        <v>188</v>
      </c>
      <c r="J4" s="204" t="s">
        <v>189</v>
      </c>
      <c r="K4" s="206" t="s">
        <v>306</v>
      </c>
      <c r="L4" s="207"/>
      <c r="M4" s="194"/>
      <c r="N4" s="181" t="s">
        <v>310</v>
      </c>
      <c r="O4" s="202" t="s">
        <v>136</v>
      </c>
      <c r="P4" s="202" t="s">
        <v>135</v>
      </c>
      <c r="Q4" s="206" t="s">
        <v>305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299</v>
      </c>
      <c r="F5" s="197"/>
      <c r="G5" s="199"/>
      <c r="H5" s="201"/>
      <c r="I5" s="203"/>
      <c r="J5" s="205"/>
      <c r="K5" s="208"/>
      <c r="L5" s="209"/>
      <c r="M5" s="151" t="s">
        <v>304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488476.3</v>
      </c>
      <c r="F8" s="22">
        <f>F10+F19+F33+F56+F68+F30</f>
        <v>441218.59</v>
      </c>
      <c r="G8" s="22">
        <f aca="true" t="shared" si="0" ref="G8:G30">F8-E8</f>
        <v>-47257.70999999996</v>
      </c>
      <c r="H8" s="51">
        <f>F8/E8*100</f>
        <v>90.32548559674237</v>
      </c>
      <c r="I8" s="36">
        <f aca="true" t="shared" si="1" ref="I8:I17">F8-D8</f>
        <v>-47257.70999999996</v>
      </c>
      <c r="J8" s="36">
        <f aca="true" t="shared" si="2" ref="J8:J14">F8/D8*100</f>
        <v>90.32548559674237</v>
      </c>
      <c r="K8" s="36">
        <f>F8-466721.4</f>
        <v>-25502.809999999998</v>
      </c>
      <c r="L8" s="136">
        <f>F8/466721.4</f>
        <v>0.9453575302096712</v>
      </c>
      <c r="M8" s="22">
        <f>M10+M19+M33+M56+M68+M30</f>
        <v>57218.27000000002</v>
      </c>
      <c r="N8" s="22">
        <f>N10+N19+N33+N56+N68+N30</f>
        <v>12503.529999999977</v>
      </c>
      <c r="O8" s="36">
        <f aca="true" t="shared" si="3" ref="O8:O71">N8-M8</f>
        <v>-44714.74000000004</v>
      </c>
      <c r="P8" s="36">
        <f>F8/M8*100</f>
        <v>771.1148729243297</v>
      </c>
      <c r="Q8" s="36">
        <f>N8-45637.2</f>
        <v>-33133.67000000002</v>
      </c>
      <c r="R8" s="134">
        <f>N8/45637.2</f>
        <v>0.27397671198057677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360683.67</v>
      </c>
      <c r="G9" s="22">
        <f t="shared" si="0"/>
        <v>360683.67</v>
      </c>
      <c r="H9" s="20"/>
      <c r="I9" s="56">
        <f t="shared" si="1"/>
        <v>-26329.530000000028</v>
      </c>
      <c r="J9" s="56">
        <f t="shared" si="2"/>
        <v>93.19673592528626</v>
      </c>
      <c r="K9" s="56"/>
      <c r="L9" s="135"/>
      <c r="M9" s="20">
        <f>M10+M17</f>
        <v>35005.20000000001</v>
      </c>
      <c r="N9" s="20">
        <f>N10+N17</f>
        <v>11486.289999999979</v>
      </c>
      <c r="O9" s="36">
        <f t="shared" si="3"/>
        <v>-23518.910000000033</v>
      </c>
      <c r="P9" s="56">
        <f>F9/M9*100</f>
        <v>1030.3716876349795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f>D10</f>
        <v>387013.2</v>
      </c>
      <c r="F10" s="169">
        <v>360683.67</v>
      </c>
      <c r="G10" s="49">
        <f t="shared" si="0"/>
        <v>-26329.530000000028</v>
      </c>
      <c r="H10" s="40">
        <f aca="true" t="shared" si="4" ref="H10:H17">F10/E10*100</f>
        <v>93.19673592528626</v>
      </c>
      <c r="I10" s="56">
        <f t="shared" si="1"/>
        <v>-26329.530000000028</v>
      </c>
      <c r="J10" s="56">
        <f t="shared" si="2"/>
        <v>93.19673592528626</v>
      </c>
      <c r="K10" s="141">
        <f>F10-372115.6</f>
        <v>-11431.929999999993</v>
      </c>
      <c r="L10" s="142">
        <f>F10/372115.6</f>
        <v>0.9692785521488484</v>
      </c>
      <c r="M10" s="40">
        <f>E10-листопад!E10</f>
        <v>35005.20000000001</v>
      </c>
      <c r="N10" s="40">
        <f>F10-листопад!F10</f>
        <v>11486.289999999979</v>
      </c>
      <c r="O10" s="53">
        <f t="shared" si="3"/>
        <v>-23518.910000000033</v>
      </c>
      <c r="P10" s="56">
        <f aca="true" t="shared" si="5" ref="P10:P17">N10/M10*100</f>
        <v>32.813096339972276</v>
      </c>
      <c r="Q10" s="141">
        <f>N10-37779.2</f>
        <v>-26292.910000000018</v>
      </c>
      <c r="R10" s="142">
        <f>N10/37779.2</f>
        <v>0.30403740682703656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f aca="true" t="shared" si="6" ref="E11:E68">D11</f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E11-листопад!E11</f>
        <v>0</v>
      </c>
      <c r="N11" s="40">
        <f>F11-листопад!F11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f t="shared" si="6"/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E12-листопад!E12</f>
        <v>0</v>
      </c>
      <c r="N12" s="40">
        <f>F12-листопад!F12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f t="shared" si="6"/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E13-листопад!E13</f>
        <v>0</v>
      </c>
      <c r="N13" s="40">
        <f>F13-листопад!F13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f t="shared" si="6"/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E14-листопад!E14</f>
        <v>0</v>
      </c>
      <c r="N14" s="40">
        <f>F14-листопад!F14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f t="shared" si="6"/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E15-листопад!E15</f>
        <v>0</v>
      </c>
      <c r="N15" s="40">
        <f>F15-листопад!F15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f t="shared" si="6"/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E16-листопад!E16</f>
        <v>0</v>
      </c>
      <c r="N16" s="40">
        <f>F16-листопад!F16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f t="shared" si="6"/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E17-листопад!E17</f>
        <v>0</v>
      </c>
      <c r="N17" s="40">
        <f>F17-листопад!F17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f t="shared" si="6"/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E18-листопад!E18</f>
        <v>0</v>
      </c>
      <c r="N18" s="40">
        <f>F18-листопад!F18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f t="shared" si="6"/>
        <v>1000</v>
      </c>
      <c r="F19" s="169">
        <v>-1341.39</v>
      </c>
      <c r="G19" s="49">
        <f t="shared" si="0"/>
        <v>-2341.3900000000003</v>
      </c>
      <c r="H19" s="40">
        <f aca="true" t="shared" si="7" ref="H19:H29">F19/E19*100</f>
        <v>-134.139</v>
      </c>
      <c r="I19" s="56">
        <f aca="true" t="shared" si="8" ref="I19:I29">F19-D19</f>
        <v>-2341.3900000000003</v>
      </c>
      <c r="J19" s="56">
        <f aca="true" t="shared" si="9" ref="J19:J29">F19/D19*100</f>
        <v>-134.139</v>
      </c>
      <c r="K19" s="167">
        <f>F19-7565.9</f>
        <v>-8907.289999999999</v>
      </c>
      <c r="L19" s="168">
        <f>F19/7565.9</f>
        <v>-0.1772941751807452</v>
      </c>
      <c r="M19" s="40">
        <f>E19-листопад!E19</f>
        <v>-79.59999999999991</v>
      </c>
      <c r="N19" s="40">
        <f>F19-листопад!F19</f>
        <v>11.169999999999845</v>
      </c>
      <c r="O19" s="53">
        <f t="shared" si="3"/>
        <v>90.76999999999975</v>
      </c>
      <c r="P19" s="56">
        <f aca="true" t="shared" si="10" ref="P19:P29">N19/M19*100</f>
        <v>-14.032663316582736</v>
      </c>
      <c r="Q19" s="56">
        <f>N19-358.9</f>
        <v>-347.73000000000013</v>
      </c>
      <c r="R19" s="135">
        <f>N19/358.9</f>
        <v>0.031122875452771932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f t="shared" si="6"/>
        <v>0</v>
      </c>
      <c r="F20" s="169">
        <v>0</v>
      </c>
      <c r="G20" s="49">
        <f t="shared" si="0"/>
        <v>0</v>
      </c>
      <c r="H20" s="40" t="e">
        <f t="shared" si="7"/>
        <v>#DIV/0!</v>
      </c>
      <c r="I20" s="56">
        <f t="shared" si="8"/>
        <v>0</v>
      </c>
      <c r="J20" s="56" t="e">
        <f t="shared" si="9"/>
        <v>#DIV/0!</v>
      </c>
      <c r="K20" s="56">
        <f aca="true" t="shared" si="11" ref="K20:K28">F20-194.7</f>
        <v>-194.7</v>
      </c>
      <c r="L20" s="135">
        <f aca="true" t="shared" si="12" ref="L20:L28">F20/194.7*100</f>
        <v>0</v>
      </c>
      <c r="M20" s="40">
        <f>E20-листопад!E20</f>
        <v>0</v>
      </c>
      <c r="N20" s="40">
        <f>F20-листопад!F20</f>
        <v>0</v>
      </c>
      <c r="O20" s="53">
        <f t="shared" si="3"/>
        <v>0</v>
      </c>
      <c r="P20" s="56" t="e">
        <f t="shared" si="10"/>
        <v>#DIV/0!</v>
      </c>
      <c r="Q20" s="56">
        <f aca="true" t="shared" si="13" ref="Q20:Q28">N20-3681.4</f>
        <v>-3681.4</v>
      </c>
      <c r="R20" s="135">
        <f aca="true" t="shared" si="14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f t="shared" si="6"/>
        <v>0</v>
      </c>
      <c r="F21" s="169">
        <v>0</v>
      </c>
      <c r="G21" s="49">
        <f t="shared" si="0"/>
        <v>0</v>
      </c>
      <c r="H21" s="40" t="e">
        <f t="shared" si="7"/>
        <v>#DIV/0!</v>
      </c>
      <c r="I21" s="56">
        <f t="shared" si="8"/>
        <v>0</v>
      </c>
      <c r="J21" s="56" t="e">
        <f t="shared" si="9"/>
        <v>#DIV/0!</v>
      </c>
      <c r="K21" s="56">
        <f t="shared" si="11"/>
        <v>-194.7</v>
      </c>
      <c r="L21" s="135">
        <f t="shared" si="12"/>
        <v>0</v>
      </c>
      <c r="M21" s="40">
        <f>E21-листопад!E21</f>
        <v>0</v>
      </c>
      <c r="N21" s="40">
        <f>F21-листопад!F21</f>
        <v>0</v>
      </c>
      <c r="O21" s="53">
        <f t="shared" si="3"/>
        <v>0</v>
      </c>
      <c r="P21" s="56" t="e">
        <f t="shared" si="10"/>
        <v>#DIV/0!</v>
      </c>
      <c r="Q21" s="56">
        <f t="shared" si="13"/>
        <v>-3681.4</v>
      </c>
      <c r="R21" s="135">
        <f t="shared" si="14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f t="shared" si="6"/>
        <v>0</v>
      </c>
      <c r="F22" s="169">
        <v>0</v>
      </c>
      <c r="G22" s="49">
        <f t="shared" si="0"/>
        <v>0</v>
      </c>
      <c r="H22" s="40" t="e">
        <f t="shared" si="7"/>
        <v>#DIV/0!</v>
      </c>
      <c r="I22" s="56">
        <f t="shared" si="8"/>
        <v>0</v>
      </c>
      <c r="J22" s="56" t="e">
        <f t="shared" si="9"/>
        <v>#DIV/0!</v>
      </c>
      <c r="K22" s="56">
        <f t="shared" si="11"/>
        <v>-194.7</v>
      </c>
      <c r="L22" s="135">
        <f t="shared" si="12"/>
        <v>0</v>
      </c>
      <c r="M22" s="40">
        <f>E22-листопад!E22</f>
        <v>0</v>
      </c>
      <c r="N22" s="40">
        <f>F22-листопад!F22</f>
        <v>0</v>
      </c>
      <c r="O22" s="53">
        <f t="shared" si="3"/>
        <v>0</v>
      </c>
      <c r="P22" s="56" t="e">
        <f t="shared" si="10"/>
        <v>#DIV/0!</v>
      </c>
      <c r="Q22" s="56">
        <f t="shared" si="13"/>
        <v>-3681.4</v>
      </c>
      <c r="R22" s="135">
        <f t="shared" si="14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f t="shared" si="6"/>
        <v>0</v>
      </c>
      <c r="F23" s="169">
        <v>0</v>
      </c>
      <c r="G23" s="49">
        <f t="shared" si="0"/>
        <v>0</v>
      </c>
      <c r="H23" s="40" t="e">
        <f t="shared" si="7"/>
        <v>#DIV/0!</v>
      </c>
      <c r="I23" s="56">
        <f t="shared" si="8"/>
        <v>0</v>
      </c>
      <c r="J23" s="56" t="e">
        <f t="shared" si="9"/>
        <v>#DIV/0!</v>
      </c>
      <c r="K23" s="56">
        <f t="shared" si="11"/>
        <v>-194.7</v>
      </c>
      <c r="L23" s="135">
        <f t="shared" si="12"/>
        <v>0</v>
      </c>
      <c r="M23" s="40">
        <f>E23-листопад!E23</f>
        <v>0</v>
      </c>
      <c r="N23" s="40">
        <f>F23-листопад!F23</f>
        <v>0</v>
      </c>
      <c r="O23" s="53">
        <f t="shared" si="3"/>
        <v>0</v>
      </c>
      <c r="P23" s="56" t="e">
        <f t="shared" si="10"/>
        <v>#DIV/0!</v>
      </c>
      <c r="Q23" s="56">
        <f t="shared" si="13"/>
        <v>-3681.4</v>
      </c>
      <c r="R23" s="135">
        <f t="shared" si="14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f t="shared" si="6"/>
        <v>0</v>
      </c>
      <c r="F24" s="169">
        <v>0</v>
      </c>
      <c r="G24" s="49">
        <f t="shared" si="0"/>
        <v>0</v>
      </c>
      <c r="H24" s="40" t="e">
        <f t="shared" si="7"/>
        <v>#DIV/0!</v>
      </c>
      <c r="I24" s="56">
        <f t="shared" si="8"/>
        <v>0</v>
      </c>
      <c r="J24" s="56" t="e">
        <f t="shared" si="9"/>
        <v>#DIV/0!</v>
      </c>
      <c r="K24" s="56">
        <f t="shared" si="11"/>
        <v>-194.7</v>
      </c>
      <c r="L24" s="135">
        <f t="shared" si="12"/>
        <v>0</v>
      </c>
      <c r="M24" s="40">
        <f>E24-листопад!E24</f>
        <v>0</v>
      </c>
      <c r="N24" s="40">
        <f>F24-листопад!F24</f>
        <v>0</v>
      </c>
      <c r="O24" s="53">
        <f t="shared" si="3"/>
        <v>0</v>
      </c>
      <c r="P24" s="56" t="e">
        <f t="shared" si="10"/>
        <v>#DIV/0!</v>
      </c>
      <c r="Q24" s="56">
        <f t="shared" si="13"/>
        <v>-3681.4</v>
      </c>
      <c r="R24" s="135">
        <f t="shared" si="14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f t="shared" si="6"/>
        <v>0</v>
      </c>
      <c r="F25" s="169">
        <v>0</v>
      </c>
      <c r="G25" s="49">
        <f t="shared" si="0"/>
        <v>0</v>
      </c>
      <c r="H25" s="40" t="e">
        <f t="shared" si="7"/>
        <v>#DIV/0!</v>
      </c>
      <c r="I25" s="56">
        <f t="shared" si="8"/>
        <v>0</v>
      </c>
      <c r="J25" s="56" t="e">
        <f t="shared" si="9"/>
        <v>#DIV/0!</v>
      </c>
      <c r="K25" s="56">
        <f t="shared" si="11"/>
        <v>-194.7</v>
      </c>
      <c r="L25" s="135">
        <f t="shared" si="12"/>
        <v>0</v>
      </c>
      <c r="M25" s="40">
        <f>E25-листопад!E25</f>
        <v>0</v>
      </c>
      <c r="N25" s="40">
        <f>F25-листопад!F25</f>
        <v>0</v>
      </c>
      <c r="O25" s="53">
        <f t="shared" si="3"/>
        <v>0</v>
      </c>
      <c r="P25" s="56" t="e">
        <f t="shared" si="10"/>
        <v>#DIV/0!</v>
      </c>
      <c r="Q25" s="56">
        <f t="shared" si="13"/>
        <v>-3681.4</v>
      </c>
      <c r="R25" s="135">
        <f t="shared" si="14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f t="shared" si="6"/>
        <v>0</v>
      </c>
      <c r="F26" s="169">
        <v>0</v>
      </c>
      <c r="G26" s="49">
        <f t="shared" si="0"/>
        <v>0</v>
      </c>
      <c r="H26" s="40" t="e">
        <f t="shared" si="7"/>
        <v>#DIV/0!</v>
      </c>
      <c r="I26" s="56">
        <f t="shared" si="8"/>
        <v>0</v>
      </c>
      <c r="J26" s="56" t="e">
        <f t="shared" si="9"/>
        <v>#DIV/0!</v>
      </c>
      <c r="K26" s="56">
        <f t="shared" si="11"/>
        <v>-194.7</v>
      </c>
      <c r="L26" s="135">
        <f t="shared" si="12"/>
        <v>0</v>
      </c>
      <c r="M26" s="40">
        <f>E26-листопад!E26</f>
        <v>0</v>
      </c>
      <c r="N26" s="40">
        <f>F26-листопад!F26</f>
        <v>0</v>
      </c>
      <c r="O26" s="53">
        <f t="shared" si="3"/>
        <v>0</v>
      </c>
      <c r="P26" s="56" t="e">
        <f t="shared" si="10"/>
        <v>#DIV/0!</v>
      </c>
      <c r="Q26" s="56">
        <f t="shared" si="13"/>
        <v>-3681.4</v>
      </c>
      <c r="R26" s="135">
        <f t="shared" si="14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f t="shared" si="6"/>
        <v>0</v>
      </c>
      <c r="F27" s="169">
        <v>0</v>
      </c>
      <c r="G27" s="49">
        <f t="shared" si="0"/>
        <v>0</v>
      </c>
      <c r="H27" s="40" t="e">
        <f t="shared" si="7"/>
        <v>#DIV/0!</v>
      </c>
      <c r="I27" s="56">
        <f t="shared" si="8"/>
        <v>0</v>
      </c>
      <c r="J27" s="56" t="e">
        <f t="shared" si="9"/>
        <v>#DIV/0!</v>
      </c>
      <c r="K27" s="56">
        <f t="shared" si="11"/>
        <v>-194.7</v>
      </c>
      <c r="L27" s="135">
        <f t="shared" si="12"/>
        <v>0</v>
      </c>
      <c r="M27" s="40">
        <f>E27-листопад!E27</f>
        <v>0</v>
      </c>
      <c r="N27" s="40">
        <f>F27-листопад!F27</f>
        <v>0</v>
      </c>
      <c r="O27" s="53">
        <f t="shared" si="3"/>
        <v>0</v>
      </c>
      <c r="P27" s="56" t="e">
        <f t="shared" si="10"/>
        <v>#DIV/0!</v>
      </c>
      <c r="Q27" s="56">
        <f t="shared" si="13"/>
        <v>-3681.4</v>
      </c>
      <c r="R27" s="135">
        <f t="shared" si="14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f t="shared" si="6"/>
        <v>0</v>
      </c>
      <c r="F28" s="169">
        <v>0</v>
      </c>
      <c r="G28" s="49">
        <f t="shared" si="0"/>
        <v>0</v>
      </c>
      <c r="H28" s="40" t="e">
        <f t="shared" si="7"/>
        <v>#DIV/0!</v>
      </c>
      <c r="I28" s="56">
        <f t="shared" si="8"/>
        <v>0</v>
      </c>
      <c r="J28" s="56" t="e">
        <f t="shared" si="9"/>
        <v>#DIV/0!</v>
      </c>
      <c r="K28" s="56">
        <f t="shared" si="11"/>
        <v>-194.7</v>
      </c>
      <c r="L28" s="135">
        <f t="shared" si="12"/>
        <v>0</v>
      </c>
      <c r="M28" s="40">
        <f>E28-листопад!E28</f>
        <v>0</v>
      </c>
      <c r="N28" s="40">
        <f>F28-листопад!F28</f>
        <v>0</v>
      </c>
      <c r="O28" s="53">
        <f t="shared" si="3"/>
        <v>0</v>
      </c>
      <c r="P28" s="56" t="e">
        <f t="shared" si="10"/>
        <v>#DIV/0!</v>
      </c>
      <c r="Q28" s="56">
        <f t="shared" si="13"/>
        <v>-3681.4</v>
      </c>
      <c r="R28" s="135">
        <f t="shared" si="14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f t="shared" si="6"/>
        <v>930</v>
      </c>
      <c r="F29" s="170">
        <v>-858.42</v>
      </c>
      <c r="G29" s="49">
        <f t="shared" si="0"/>
        <v>-1788.42</v>
      </c>
      <c r="H29" s="40">
        <f t="shared" si="7"/>
        <v>-92.30322580645161</v>
      </c>
      <c r="I29" s="56">
        <f t="shared" si="8"/>
        <v>-1788.42</v>
      </c>
      <c r="J29" s="56">
        <f t="shared" si="9"/>
        <v>-92.30322580645161</v>
      </c>
      <c r="K29" s="148">
        <f>F29-3938.93</f>
        <v>-4797.349999999999</v>
      </c>
      <c r="L29" s="149">
        <f>F29/3938.93</f>
        <v>-0.21793228110172053</v>
      </c>
      <c r="M29" s="40">
        <f>E29-листопад!E29</f>
        <v>110.39999999999998</v>
      </c>
      <c r="N29" s="40">
        <f>F29-листопад!F29</f>
        <v>11</v>
      </c>
      <c r="O29" s="148">
        <f t="shared" si="3"/>
        <v>-99.39999999999998</v>
      </c>
      <c r="P29" s="145">
        <f t="shared" si="10"/>
        <v>9.963768115942031</v>
      </c>
      <c r="Q29" s="148">
        <f>N29-358.92</f>
        <v>-347.92</v>
      </c>
      <c r="R29" s="149">
        <f>N29/358.92</f>
        <v>0.03064749804970467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144">
        <f t="shared" si="6"/>
        <v>37</v>
      </c>
      <c r="F30" s="169">
        <f>0.04+31.36</f>
        <v>31.4</v>
      </c>
      <c r="G30" s="49">
        <f t="shared" si="0"/>
        <v>-5.600000000000001</v>
      </c>
      <c r="H30" s="40"/>
      <c r="I30" s="56"/>
      <c r="J30" s="56"/>
      <c r="K30" s="56">
        <f>F30-36.9</f>
        <v>-5.5</v>
      </c>
      <c r="L30" s="149">
        <f>F30/36.9</f>
        <v>0.8509485094850948</v>
      </c>
      <c r="M30" s="40">
        <f>E30-листопад!E30</f>
        <v>0</v>
      </c>
      <c r="N30" s="40">
        <f>F30-листопад!F30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f t="shared" si="6"/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E31-листопад!E31</f>
        <v>0</v>
      </c>
      <c r="N31" s="40">
        <f>F31-листопад!F31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f t="shared" si="6"/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E32-листопад!E32</f>
        <v>0</v>
      </c>
      <c r="N32" s="40">
        <f>F32-листопад!F32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f t="shared" si="6"/>
        <v>93566</v>
      </c>
      <c r="F33" s="169">
        <v>75695.83</v>
      </c>
      <c r="G33" s="49">
        <f aca="true" t="shared" si="15" ref="G33:G72">F33-E33</f>
        <v>-17870.17</v>
      </c>
      <c r="H33" s="40">
        <f aca="true" t="shared" si="16" ref="H33:H67">F33/E33*100</f>
        <v>80.90100036337986</v>
      </c>
      <c r="I33" s="56">
        <f>F33-D33</f>
        <v>-17870.17</v>
      </c>
      <c r="J33" s="56">
        <f aca="true" t="shared" si="17" ref="J33:J72">F33/D33*100</f>
        <v>80.90100036337986</v>
      </c>
      <c r="K33" s="141">
        <f>F33-80761.4</f>
        <v>-5065.569999999992</v>
      </c>
      <c r="L33" s="142">
        <f>F33/80721.4</f>
        <v>0.9377417884228966</v>
      </c>
      <c r="M33" s="40">
        <f>E33-листопад!E33</f>
        <v>21652.570000000007</v>
      </c>
      <c r="N33" s="40">
        <f>F33-листопад!F33</f>
        <v>698.0599999999977</v>
      </c>
      <c r="O33" s="53">
        <f t="shared" si="3"/>
        <v>-20954.51000000001</v>
      </c>
      <c r="P33" s="56">
        <f aca="true" t="shared" si="18" ref="P33:P67">N33/M33*100</f>
        <v>3.2239129119545504</v>
      </c>
      <c r="Q33" s="141">
        <f>N33-6915.7</f>
        <v>-6217.640000000002</v>
      </c>
      <c r="R33" s="142">
        <f>N33/6915.7</f>
        <v>0.1009384444090978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f t="shared" si="6"/>
        <v>0</v>
      </c>
      <c r="F34" s="169">
        <v>0</v>
      </c>
      <c r="G34" s="49">
        <f t="shared" si="15"/>
        <v>0</v>
      </c>
      <c r="H34" s="40" t="e">
        <f t="shared" si="16"/>
        <v>#DIV/0!</v>
      </c>
      <c r="I34" s="56">
        <f aca="true" t="shared" si="19" ref="I34:I72">F34-D34</f>
        <v>0</v>
      </c>
      <c r="J34" s="56" t="e">
        <f t="shared" si="17"/>
        <v>#DIV/0!</v>
      </c>
      <c r="K34" s="56">
        <f aca="true" t="shared" si="20" ref="K34:K54">F34-6172.8</f>
        <v>-6172.8</v>
      </c>
      <c r="L34" s="135">
        <f aca="true" t="shared" si="21" ref="L34:L54">F34/6172.8*100</f>
        <v>0</v>
      </c>
      <c r="M34" s="40">
        <f>E34-листопад!E34</f>
        <v>0</v>
      </c>
      <c r="N34" s="40">
        <f>F34-листопад!F34</f>
        <v>0</v>
      </c>
      <c r="O34" s="53">
        <f t="shared" si="3"/>
        <v>0</v>
      </c>
      <c r="P34" s="56" t="e">
        <f t="shared" si="18"/>
        <v>#DIV/0!</v>
      </c>
      <c r="Q34" s="141">
        <f aca="true" t="shared" si="22" ref="Q34:Q54">N34-6362.9</f>
        <v>-6362.9</v>
      </c>
      <c r="R34" s="142">
        <f aca="true" t="shared" si="23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f t="shared" si="6"/>
        <v>0</v>
      </c>
      <c r="F35" s="169">
        <v>0</v>
      </c>
      <c r="G35" s="49">
        <f t="shared" si="15"/>
        <v>0</v>
      </c>
      <c r="H35" s="40" t="e">
        <f t="shared" si="16"/>
        <v>#DIV/0!</v>
      </c>
      <c r="I35" s="56">
        <f t="shared" si="19"/>
        <v>0</v>
      </c>
      <c r="J35" s="56" t="e">
        <f t="shared" si="17"/>
        <v>#DIV/0!</v>
      </c>
      <c r="K35" s="56">
        <f t="shared" si="20"/>
        <v>-6172.8</v>
      </c>
      <c r="L35" s="135">
        <f t="shared" si="21"/>
        <v>0</v>
      </c>
      <c r="M35" s="40">
        <f>E35-листопад!E35</f>
        <v>0</v>
      </c>
      <c r="N35" s="40">
        <f>F35-листопад!F35</f>
        <v>0</v>
      </c>
      <c r="O35" s="53">
        <f t="shared" si="3"/>
        <v>0</v>
      </c>
      <c r="P35" s="56" t="e">
        <f t="shared" si="18"/>
        <v>#DIV/0!</v>
      </c>
      <c r="Q35" s="141">
        <f t="shared" si="22"/>
        <v>-6362.9</v>
      </c>
      <c r="R35" s="142">
        <f t="shared" si="23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f t="shared" si="6"/>
        <v>0</v>
      </c>
      <c r="F36" s="169">
        <v>0</v>
      </c>
      <c r="G36" s="49">
        <f t="shared" si="15"/>
        <v>0</v>
      </c>
      <c r="H36" s="40" t="e">
        <f t="shared" si="16"/>
        <v>#DIV/0!</v>
      </c>
      <c r="I36" s="56">
        <f t="shared" si="19"/>
        <v>0</v>
      </c>
      <c r="J36" s="56" t="e">
        <f t="shared" si="17"/>
        <v>#DIV/0!</v>
      </c>
      <c r="K36" s="56">
        <f t="shared" si="20"/>
        <v>-6172.8</v>
      </c>
      <c r="L36" s="135">
        <f t="shared" si="21"/>
        <v>0</v>
      </c>
      <c r="M36" s="40">
        <f>E36-листопад!E36</f>
        <v>0</v>
      </c>
      <c r="N36" s="40">
        <f>F36-листопад!F36</f>
        <v>0</v>
      </c>
      <c r="O36" s="53">
        <f t="shared" si="3"/>
        <v>0</v>
      </c>
      <c r="P36" s="56" t="e">
        <f t="shared" si="18"/>
        <v>#DIV/0!</v>
      </c>
      <c r="Q36" s="141">
        <f t="shared" si="22"/>
        <v>-6362.9</v>
      </c>
      <c r="R36" s="142">
        <f t="shared" si="23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f t="shared" si="6"/>
        <v>0</v>
      </c>
      <c r="F37" s="169">
        <v>0</v>
      </c>
      <c r="G37" s="49">
        <f t="shared" si="15"/>
        <v>0</v>
      </c>
      <c r="H37" s="40" t="e">
        <f t="shared" si="16"/>
        <v>#DIV/0!</v>
      </c>
      <c r="I37" s="56">
        <f t="shared" si="19"/>
        <v>0</v>
      </c>
      <c r="J37" s="56" t="e">
        <f t="shared" si="17"/>
        <v>#DIV/0!</v>
      </c>
      <c r="K37" s="56">
        <f t="shared" si="20"/>
        <v>-6172.8</v>
      </c>
      <c r="L37" s="135">
        <f t="shared" si="21"/>
        <v>0</v>
      </c>
      <c r="M37" s="40">
        <f>E37-листопад!E37</f>
        <v>0</v>
      </c>
      <c r="N37" s="40">
        <f>F37-листопад!F37</f>
        <v>0</v>
      </c>
      <c r="O37" s="53">
        <f t="shared" si="3"/>
        <v>0</v>
      </c>
      <c r="P37" s="56" t="e">
        <f t="shared" si="18"/>
        <v>#DIV/0!</v>
      </c>
      <c r="Q37" s="141">
        <f t="shared" si="22"/>
        <v>-6362.9</v>
      </c>
      <c r="R37" s="142">
        <f t="shared" si="23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f t="shared" si="6"/>
        <v>0</v>
      </c>
      <c r="F38" s="169">
        <v>0</v>
      </c>
      <c r="G38" s="49">
        <f t="shared" si="15"/>
        <v>0</v>
      </c>
      <c r="H38" s="40" t="e">
        <f t="shared" si="16"/>
        <v>#DIV/0!</v>
      </c>
      <c r="I38" s="56">
        <f t="shared" si="19"/>
        <v>0</v>
      </c>
      <c r="J38" s="56" t="e">
        <f t="shared" si="17"/>
        <v>#DIV/0!</v>
      </c>
      <c r="K38" s="56">
        <f t="shared" si="20"/>
        <v>-6172.8</v>
      </c>
      <c r="L38" s="135">
        <f t="shared" si="21"/>
        <v>0</v>
      </c>
      <c r="M38" s="40">
        <f>E38-листопад!E38</f>
        <v>0</v>
      </c>
      <c r="N38" s="40">
        <f>F38-листопад!F38</f>
        <v>0</v>
      </c>
      <c r="O38" s="53">
        <f t="shared" si="3"/>
        <v>0</v>
      </c>
      <c r="P38" s="56" t="e">
        <f t="shared" si="18"/>
        <v>#DIV/0!</v>
      </c>
      <c r="Q38" s="141">
        <f t="shared" si="22"/>
        <v>-6362.9</v>
      </c>
      <c r="R38" s="142">
        <f t="shared" si="23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f t="shared" si="6"/>
        <v>0</v>
      </c>
      <c r="F39" s="169">
        <v>0</v>
      </c>
      <c r="G39" s="49">
        <f t="shared" si="15"/>
        <v>0</v>
      </c>
      <c r="H39" s="40" t="e">
        <f t="shared" si="16"/>
        <v>#DIV/0!</v>
      </c>
      <c r="I39" s="56">
        <f t="shared" si="19"/>
        <v>0</v>
      </c>
      <c r="J39" s="56" t="e">
        <f t="shared" si="17"/>
        <v>#DIV/0!</v>
      </c>
      <c r="K39" s="56">
        <f t="shared" si="20"/>
        <v>-6172.8</v>
      </c>
      <c r="L39" s="135">
        <f t="shared" si="21"/>
        <v>0</v>
      </c>
      <c r="M39" s="40">
        <f>E39-листопад!E39</f>
        <v>0</v>
      </c>
      <c r="N39" s="40">
        <f>F39-листопад!F39</f>
        <v>0</v>
      </c>
      <c r="O39" s="53">
        <f t="shared" si="3"/>
        <v>0</v>
      </c>
      <c r="P39" s="56" t="e">
        <f t="shared" si="18"/>
        <v>#DIV/0!</v>
      </c>
      <c r="Q39" s="141">
        <f t="shared" si="22"/>
        <v>-6362.9</v>
      </c>
      <c r="R39" s="142">
        <f t="shared" si="23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f t="shared" si="6"/>
        <v>0</v>
      </c>
      <c r="F40" s="169">
        <v>0</v>
      </c>
      <c r="G40" s="49">
        <f t="shared" si="15"/>
        <v>0</v>
      </c>
      <c r="H40" s="40" t="e">
        <f t="shared" si="16"/>
        <v>#DIV/0!</v>
      </c>
      <c r="I40" s="56">
        <f t="shared" si="19"/>
        <v>0</v>
      </c>
      <c r="J40" s="56" t="e">
        <f t="shared" si="17"/>
        <v>#DIV/0!</v>
      </c>
      <c r="K40" s="56">
        <f t="shared" si="20"/>
        <v>-6172.8</v>
      </c>
      <c r="L40" s="135">
        <f t="shared" si="21"/>
        <v>0</v>
      </c>
      <c r="M40" s="40">
        <f>E40-листопад!E40</f>
        <v>0</v>
      </c>
      <c r="N40" s="40">
        <f>F40-листопад!F40</f>
        <v>0</v>
      </c>
      <c r="O40" s="53">
        <f t="shared" si="3"/>
        <v>0</v>
      </c>
      <c r="P40" s="56" t="e">
        <f t="shared" si="18"/>
        <v>#DIV/0!</v>
      </c>
      <c r="Q40" s="141">
        <f t="shared" si="22"/>
        <v>-6362.9</v>
      </c>
      <c r="R40" s="142">
        <f t="shared" si="23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f t="shared" si="6"/>
        <v>0</v>
      </c>
      <c r="F41" s="169">
        <v>0</v>
      </c>
      <c r="G41" s="49">
        <f t="shared" si="15"/>
        <v>0</v>
      </c>
      <c r="H41" s="40" t="e">
        <f t="shared" si="16"/>
        <v>#DIV/0!</v>
      </c>
      <c r="I41" s="56">
        <f t="shared" si="19"/>
        <v>0</v>
      </c>
      <c r="J41" s="56" t="e">
        <f t="shared" si="17"/>
        <v>#DIV/0!</v>
      </c>
      <c r="K41" s="56">
        <f t="shared" si="20"/>
        <v>-6172.8</v>
      </c>
      <c r="L41" s="135">
        <f t="shared" si="21"/>
        <v>0</v>
      </c>
      <c r="M41" s="40">
        <f>E41-листопад!E41</f>
        <v>0</v>
      </c>
      <c r="N41" s="40">
        <f>F41-листопад!F41</f>
        <v>0</v>
      </c>
      <c r="O41" s="53">
        <f t="shared" si="3"/>
        <v>0</v>
      </c>
      <c r="P41" s="56" t="e">
        <f t="shared" si="18"/>
        <v>#DIV/0!</v>
      </c>
      <c r="Q41" s="141">
        <f t="shared" si="22"/>
        <v>-6362.9</v>
      </c>
      <c r="R41" s="142">
        <f t="shared" si="23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f t="shared" si="6"/>
        <v>0</v>
      </c>
      <c r="F42" s="169">
        <v>0</v>
      </c>
      <c r="G42" s="49">
        <f t="shared" si="15"/>
        <v>0</v>
      </c>
      <c r="H42" s="40" t="e">
        <f t="shared" si="16"/>
        <v>#DIV/0!</v>
      </c>
      <c r="I42" s="56">
        <f t="shared" si="19"/>
        <v>0</v>
      </c>
      <c r="J42" s="56" t="e">
        <f t="shared" si="17"/>
        <v>#DIV/0!</v>
      </c>
      <c r="K42" s="56">
        <f t="shared" si="20"/>
        <v>-6172.8</v>
      </c>
      <c r="L42" s="135">
        <f t="shared" si="21"/>
        <v>0</v>
      </c>
      <c r="M42" s="40">
        <f>E42-листопад!E42</f>
        <v>0</v>
      </c>
      <c r="N42" s="40">
        <f>F42-листопад!F42</f>
        <v>0</v>
      </c>
      <c r="O42" s="53">
        <f t="shared" si="3"/>
        <v>0</v>
      </c>
      <c r="P42" s="56" t="e">
        <f t="shared" si="18"/>
        <v>#DIV/0!</v>
      </c>
      <c r="Q42" s="141">
        <f t="shared" si="22"/>
        <v>-6362.9</v>
      </c>
      <c r="R42" s="142">
        <f t="shared" si="23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f t="shared" si="6"/>
        <v>0</v>
      </c>
      <c r="F43" s="169">
        <v>0</v>
      </c>
      <c r="G43" s="49">
        <f t="shared" si="15"/>
        <v>0</v>
      </c>
      <c r="H43" s="40" t="e">
        <f t="shared" si="16"/>
        <v>#DIV/0!</v>
      </c>
      <c r="I43" s="56">
        <f t="shared" si="19"/>
        <v>0</v>
      </c>
      <c r="J43" s="56" t="e">
        <f t="shared" si="17"/>
        <v>#DIV/0!</v>
      </c>
      <c r="K43" s="56">
        <f t="shared" si="20"/>
        <v>-6172.8</v>
      </c>
      <c r="L43" s="135">
        <f t="shared" si="21"/>
        <v>0</v>
      </c>
      <c r="M43" s="40">
        <f>E43-листопад!E43</f>
        <v>0</v>
      </c>
      <c r="N43" s="40">
        <f>F43-листопад!F43</f>
        <v>0</v>
      </c>
      <c r="O43" s="53">
        <f t="shared" si="3"/>
        <v>0</v>
      </c>
      <c r="P43" s="56" t="e">
        <f t="shared" si="18"/>
        <v>#DIV/0!</v>
      </c>
      <c r="Q43" s="141">
        <f t="shared" si="22"/>
        <v>-6362.9</v>
      </c>
      <c r="R43" s="142">
        <f t="shared" si="23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f t="shared" si="6"/>
        <v>0</v>
      </c>
      <c r="F44" s="169">
        <v>0</v>
      </c>
      <c r="G44" s="49">
        <f t="shared" si="15"/>
        <v>0</v>
      </c>
      <c r="H44" s="40" t="e">
        <f t="shared" si="16"/>
        <v>#DIV/0!</v>
      </c>
      <c r="I44" s="56">
        <f t="shared" si="19"/>
        <v>0</v>
      </c>
      <c r="J44" s="56" t="e">
        <f t="shared" si="17"/>
        <v>#DIV/0!</v>
      </c>
      <c r="K44" s="56">
        <f t="shared" si="20"/>
        <v>-6172.8</v>
      </c>
      <c r="L44" s="135">
        <f t="shared" si="21"/>
        <v>0</v>
      </c>
      <c r="M44" s="40">
        <f>E44-листопад!E44</f>
        <v>0</v>
      </c>
      <c r="N44" s="40">
        <f>F44-листопад!F44</f>
        <v>0</v>
      </c>
      <c r="O44" s="53">
        <f t="shared" si="3"/>
        <v>0</v>
      </c>
      <c r="P44" s="56" t="e">
        <f t="shared" si="18"/>
        <v>#DIV/0!</v>
      </c>
      <c r="Q44" s="141">
        <f t="shared" si="22"/>
        <v>-6362.9</v>
      </c>
      <c r="R44" s="142">
        <f t="shared" si="23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f t="shared" si="6"/>
        <v>0</v>
      </c>
      <c r="F45" s="169">
        <v>0</v>
      </c>
      <c r="G45" s="49">
        <f t="shared" si="15"/>
        <v>0</v>
      </c>
      <c r="H45" s="40" t="e">
        <f t="shared" si="16"/>
        <v>#DIV/0!</v>
      </c>
      <c r="I45" s="56">
        <f t="shared" si="19"/>
        <v>0</v>
      </c>
      <c r="J45" s="56" t="e">
        <f t="shared" si="17"/>
        <v>#DIV/0!</v>
      </c>
      <c r="K45" s="56">
        <f t="shared" si="20"/>
        <v>-6172.8</v>
      </c>
      <c r="L45" s="135">
        <f t="shared" si="21"/>
        <v>0</v>
      </c>
      <c r="M45" s="40">
        <f>E45-листопад!E45</f>
        <v>0</v>
      </c>
      <c r="N45" s="40">
        <f>F45-листопад!F45</f>
        <v>0</v>
      </c>
      <c r="O45" s="53">
        <f t="shared" si="3"/>
        <v>0</v>
      </c>
      <c r="P45" s="56" t="e">
        <f t="shared" si="18"/>
        <v>#DIV/0!</v>
      </c>
      <c r="Q45" s="141">
        <f t="shared" si="22"/>
        <v>-6362.9</v>
      </c>
      <c r="R45" s="142">
        <f t="shared" si="23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f t="shared" si="6"/>
        <v>0</v>
      </c>
      <c r="F46" s="169">
        <v>0</v>
      </c>
      <c r="G46" s="49">
        <f t="shared" si="15"/>
        <v>0</v>
      </c>
      <c r="H46" s="40" t="e">
        <f t="shared" si="16"/>
        <v>#DIV/0!</v>
      </c>
      <c r="I46" s="56">
        <f t="shared" si="19"/>
        <v>0</v>
      </c>
      <c r="J46" s="56" t="e">
        <f t="shared" si="17"/>
        <v>#DIV/0!</v>
      </c>
      <c r="K46" s="56">
        <f t="shared" si="20"/>
        <v>-6172.8</v>
      </c>
      <c r="L46" s="135">
        <f t="shared" si="21"/>
        <v>0</v>
      </c>
      <c r="M46" s="40">
        <f>E46-листопад!E46</f>
        <v>0</v>
      </c>
      <c r="N46" s="40">
        <f>F46-листопад!F46</f>
        <v>0</v>
      </c>
      <c r="O46" s="53">
        <f t="shared" si="3"/>
        <v>0</v>
      </c>
      <c r="P46" s="56" t="e">
        <f t="shared" si="18"/>
        <v>#DIV/0!</v>
      </c>
      <c r="Q46" s="141">
        <f t="shared" si="22"/>
        <v>-6362.9</v>
      </c>
      <c r="R46" s="142">
        <f t="shared" si="23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f t="shared" si="6"/>
        <v>0</v>
      </c>
      <c r="F47" s="169">
        <v>0</v>
      </c>
      <c r="G47" s="49">
        <f t="shared" si="15"/>
        <v>0</v>
      </c>
      <c r="H47" s="40" t="e">
        <f t="shared" si="16"/>
        <v>#DIV/0!</v>
      </c>
      <c r="I47" s="56">
        <f t="shared" si="19"/>
        <v>0</v>
      </c>
      <c r="J47" s="56" t="e">
        <f t="shared" si="17"/>
        <v>#DIV/0!</v>
      </c>
      <c r="K47" s="56">
        <f t="shared" si="20"/>
        <v>-6172.8</v>
      </c>
      <c r="L47" s="135">
        <f t="shared" si="21"/>
        <v>0</v>
      </c>
      <c r="M47" s="40">
        <f>E47-листопад!E47</f>
        <v>0</v>
      </c>
      <c r="N47" s="40">
        <f>F47-листопад!F47</f>
        <v>0</v>
      </c>
      <c r="O47" s="53">
        <f t="shared" si="3"/>
        <v>0</v>
      </c>
      <c r="P47" s="56" t="e">
        <f t="shared" si="18"/>
        <v>#DIV/0!</v>
      </c>
      <c r="Q47" s="141">
        <f t="shared" si="22"/>
        <v>-6362.9</v>
      </c>
      <c r="R47" s="142">
        <f t="shared" si="23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f t="shared" si="6"/>
        <v>0</v>
      </c>
      <c r="F48" s="169">
        <v>0</v>
      </c>
      <c r="G48" s="49">
        <f t="shared" si="15"/>
        <v>0</v>
      </c>
      <c r="H48" s="40" t="e">
        <f t="shared" si="16"/>
        <v>#DIV/0!</v>
      </c>
      <c r="I48" s="56">
        <f t="shared" si="19"/>
        <v>0</v>
      </c>
      <c r="J48" s="56" t="e">
        <f t="shared" si="17"/>
        <v>#DIV/0!</v>
      </c>
      <c r="K48" s="56">
        <f t="shared" si="20"/>
        <v>-6172.8</v>
      </c>
      <c r="L48" s="135">
        <f t="shared" si="21"/>
        <v>0</v>
      </c>
      <c r="M48" s="40">
        <f>E48-листопад!E48</f>
        <v>0</v>
      </c>
      <c r="N48" s="40">
        <f>F48-листопад!F48</f>
        <v>0</v>
      </c>
      <c r="O48" s="53">
        <f t="shared" si="3"/>
        <v>0</v>
      </c>
      <c r="P48" s="56" t="e">
        <f t="shared" si="18"/>
        <v>#DIV/0!</v>
      </c>
      <c r="Q48" s="141">
        <f t="shared" si="22"/>
        <v>-6362.9</v>
      </c>
      <c r="R48" s="142">
        <f t="shared" si="23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f t="shared" si="6"/>
        <v>0</v>
      </c>
      <c r="F49" s="169">
        <v>0</v>
      </c>
      <c r="G49" s="49">
        <f t="shared" si="15"/>
        <v>0</v>
      </c>
      <c r="H49" s="40" t="e">
        <f t="shared" si="16"/>
        <v>#DIV/0!</v>
      </c>
      <c r="I49" s="56">
        <f t="shared" si="19"/>
        <v>0</v>
      </c>
      <c r="J49" s="56" t="e">
        <f t="shared" si="17"/>
        <v>#DIV/0!</v>
      </c>
      <c r="K49" s="56">
        <f t="shared" si="20"/>
        <v>-6172.8</v>
      </c>
      <c r="L49" s="135">
        <f t="shared" si="21"/>
        <v>0</v>
      </c>
      <c r="M49" s="40">
        <f>E49-листопад!E49</f>
        <v>0</v>
      </c>
      <c r="N49" s="40">
        <f>F49-листопад!F49</f>
        <v>0</v>
      </c>
      <c r="O49" s="53">
        <f t="shared" si="3"/>
        <v>0</v>
      </c>
      <c r="P49" s="56" t="e">
        <f t="shared" si="18"/>
        <v>#DIV/0!</v>
      </c>
      <c r="Q49" s="141">
        <f t="shared" si="22"/>
        <v>-6362.9</v>
      </c>
      <c r="R49" s="142">
        <f t="shared" si="23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f t="shared" si="6"/>
        <v>0</v>
      </c>
      <c r="F50" s="169">
        <v>0</v>
      </c>
      <c r="G50" s="49">
        <f t="shared" si="15"/>
        <v>0</v>
      </c>
      <c r="H50" s="40" t="e">
        <f t="shared" si="16"/>
        <v>#DIV/0!</v>
      </c>
      <c r="I50" s="56">
        <f t="shared" si="19"/>
        <v>0</v>
      </c>
      <c r="J50" s="56" t="e">
        <f t="shared" si="17"/>
        <v>#DIV/0!</v>
      </c>
      <c r="K50" s="56">
        <f t="shared" si="20"/>
        <v>-6172.8</v>
      </c>
      <c r="L50" s="135">
        <f t="shared" si="21"/>
        <v>0</v>
      </c>
      <c r="M50" s="40">
        <f>E50-листопад!E50</f>
        <v>0</v>
      </c>
      <c r="N50" s="40">
        <f>F50-листопад!F50</f>
        <v>0</v>
      </c>
      <c r="O50" s="53">
        <f t="shared" si="3"/>
        <v>0</v>
      </c>
      <c r="P50" s="56" t="e">
        <f t="shared" si="18"/>
        <v>#DIV/0!</v>
      </c>
      <c r="Q50" s="141">
        <f t="shared" si="22"/>
        <v>-6362.9</v>
      </c>
      <c r="R50" s="142">
        <f t="shared" si="23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f t="shared" si="6"/>
        <v>0</v>
      </c>
      <c r="F51" s="169">
        <v>0</v>
      </c>
      <c r="G51" s="49">
        <f t="shared" si="15"/>
        <v>0</v>
      </c>
      <c r="H51" s="40" t="e">
        <f t="shared" si="16"/>
        <v>#DIV/0!</v>
      </c>
      <c r="I51" s="56">
        <f t="shared" si="19"/>
        <v>0</v>
      </c>
      <c r="J51" s="56" t="e">
        <f t="shared" si="17"/>
        <v>#DIV/0!</v>
      </c>
      <c r="K51" s="56">
        <f t="shared" si="20"/>
        <v>-6172.8</v>
      </c>
      <c r="L51" s="135">
        <f t="shared" si="21"/>
        <v>0</v>
      </c>
      <c r="M51" s="40">
        <f>E51-листопад!E51</f>
        <v>0</v>
      </c>
      <c r="N51" s="40">
        <f>F51-листопад!F51</f>
        <v>0</v>
      </c>
      <c r="O51" s="53">
        <f t="shared" si="3"/>
        <v>0</v>
      </c>
      <c r="P51" s="56" t="e">
        <f t="shared" si="18"/>
        <v>#DIV/0!</v>
      </c>
      <c r="Q51" s="141">
        <f t="shared" si="22"/>
        <v>-6362.9</v>
      </c>
      <c r="R51" s="142">
        <f t="shared" si="23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f t="shared" si="6"/>
        <v>0</v>
      </c>
      <c r="F52" s="169">
        <v>0</v>
      </c>
      <c r="G52" s="49">
        <f t="shared" si="15"/>
        <v>0</v>
      </c>
      <c r="H52" s="40" t="e">
        <f t="shared" si="16"/>
        <v>#DIV/0!</v>
      </c>
      <c r="I52" s="56">
        <f t="shared" si="19"/>
        <v>0</v>
      </c>
      <c r="J52" s="56" t="e">
        <f t="shared" si="17"/>
        <v>#DIV/0!</v>
      </c>
      <c r="K52" s="56">
        <f t="shared" si="20"/>
        <v>-6172.8</v>
      </c>
      <c r="L52" s="135">
        <f t="shared" si="21"/>
        <v>0</v>
      </c>
      <c r="M52" s="40">
        <f>E52-листопад!E52</f>
        <v>0</v>
      </c>
      <c r="N52" s="40">
        <f>F52-листопад!F52</f>
        <v>0</v>
      </c>
      <c r="O52" s="53">
        <f t="shared" si="3"/>
        <v>0</v>
      </c>
      <c r="P52" s="56" t="e">
        <f t="shared" si="18"/>
        <v>#DIV/0!</v>
      </c>
      <c r="Q52" s="141">
        <f t="shared" si="22"/>
        <v>-6362.9</v>
      </c>
      <c r="R52" s="142">
        <f t="shared" si="23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f t="shared" si="6"/>
        <v>0</v>
      </c>
      <c r="F53" s="169">
        <v>0</v>
      </c>
      <c r="G53" s="49">
        <f t="shared" si="15"/>
        <v>0</v>
      </c>
      <c r="H53" s="40" t="e">
        <f t="shared" si="16"/>
        <v>#DIV/0!</v>
      </c>
      <c r="I53" s="56">
        <f t="shared" si="19"/>
        <v>0</v>
      </c>
      <c r="J53" s="56" t="e">
        <f t="shared" si="17"/>
        <v>#DIV/0!</v>
      </c>
      <c r="K53" s="56">
        <f t="shared" si="20"/>
        <v>-6172.8</v>
      </c>
      <c r="L53" s="135">
        <f t="shared" si="21"/>
        <v>0</v>
      </c>
      <c r="M53" s="40">
        <f>E53-листопад!E53</f>
        <v>0</v>
      </c>
      <c r="N53" s="40">
        <f>F53-листопад!F53</f>
        <v>0</v>
      </c>
      <c r="O53" s="53">
        <f t="shared" si="3"/>
        <v>0</v>
      </c>
      <c r="P53" s="56" t="e">
        <f t="shared" si="18"/>
        <v>#DIV/0!</v>
      </c>
      <c r="Q53" s="141">
        <f t="shared" si="22"/>
        <v>-6362.9</v>
      </c>
      <c r="R53" s="142">
        <f t="shared" si="23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f t="shared" si="6"/>
        <v>0</v>
      </c>
      <c r="F54" s="169">
        <v>0</v>
      </c>
      <c r="G54" s="49">
        <f t="shared" si="15"/>
        <v>0</v>
      </c>
      <c r="H54" s="40" t="e">
        <f t="shared" si="16"/>
        <v>#DIV/0!</v>
      </c>
      <c r="I54" s="56">
        <f t="shared" si="19"/>
        <v>0</v>
      </c>
      <c r="J54" s="56" t="e">
        <f t="shared" si="17"/>
        <v>#DIV/0!</v>
      </c>
      <c r="K54" s="56">
        <f t="shared" si="20"/>
        <v>-6172.8</v>
      </c>
      <c r="L54" s="135">
        <f t="shared" si="21"/>
        <v>0</v>
      </c>
      <c r="M54" s="40">
        <f>E54-листопад!E54</f>
        <v>0</v>
      </c>
      <c r="N54" s="40">
        <f>F54-листопад!F54</f>
        <v>0</v>
      </c>
      <c r="O54" s="53">
        <f t="shared" si="3"/>
        <v>0</v>
      </c>
      <c r="P54" s="56" t="e">
        <f t="shared" si="18"/>
        <v>#DIV/0!</v>
      </c>
      <c r="Q54" s="141">
        <f t="shared" si="22"/>
        <v>-6362.9</v>
      </c>
      <c r="R54" s="142">
        <f t="shared" si="23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f t="shared" si="6"/>
        <v>70266</v>
      </c>
      <c r="F55" s="170">
        <v>56315.04</v>
      </c>
      <c r="G55" s="144">
        <f t="shared" si="15"/>
        <v>-13950.96</v>
      </c>
      <c r="H55" s="146">
        <f t="shared" si="16"/>
        <v>80.14550422679531</v>
      </c>
      <c r="I55" s="145">
        <f t="shared" si="19"/>
        <v>-13950.96</v>
      </c>
      <c r="J55" s="145">
        <f t="shared" si="17"/>
        <v>80.14550422679531</v>
      </c>
      <c r="K55" s="148">
        <f>F55-59068.8</f>
        <v>-2753.760000000002</v>
      </c>
      <c r="L55" s="149">
        <f>F55/59068.8</f>
        <v>0.9533804648139119</v>
      </c>
      <c r="M55" s="40">
        <f>E55-листопад!E55</f>
        <v>17417.47</v>
      </c>
      <c r="N55" s="40">
        <f>F55-листопад!F55</f>
        <v>564.8899999999994</v>
      </c>
      <c r="O55" s="148">
        <f t="shared" si="3"/>
        <v>-16852.58</v>
      </c>
      <c r="P55" s="148">
        <f t="shared" si="18"/>
        <v>3.243237967397098</v>
      </c>
      <c r="Q55" s="160">
        <f>N55-5155.85</f>
        <v>-4590.960000000001</v>
      </c>
      <c r="R55" s="161">
        <f>N55/5155.85</f>
        <v>0.10956292366922998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f t="shared" si="6"/>
        <v>6860</v>
      </c>
      <c r="F56" s="169">
        <f>1.51+6145.62</f>
        <v>6147.13</v>
      </c>
      <c r="G56" s="49">
        <f t="shared" si="15"/>
        <v>-712.8699999999999</v>
      </c>
      <c r="H56" s="40">
        <f t="shared" si="16"/>
        <v>89.60830903790088</v>
      </c>
      <c r="I56" s="56">
        <f t="shared" si="19"/>
        <v>-712.8699999999999</v>
      </c>
      <c r="J56" s="56">
        <f t="shared" si="17"/>
        <v>89.60830903790088</v>
      </c>
      <c r="K56" s="56">
        <f>F56-6243.8</f>
        <v>-96.67000000000007</v>
      </c>
      <c r="L56" s="135">
        <f>F56/6243.8</f>
        <v>0.9845174413017713</v>
      </c>
      <c r="M56" s="40">
        <f>E56-листопад!E56</f>
        <v>640.1000000000004</v>
      </c>
      <c r="N56" s="40">
        <f>F56-листопад!F56</f>
        <v>308.0100000000002</v>
      </c>
      <c r="O56" s="53">
        <f t="shared" si="3"/>
        <v>-332.09000000000015</v>
      </c>
      <c r="P56" s="56">
        <f t="shared" si="18"/>
        <v>48.11904389939073</v>
      </c>
      <c r="Q56" s="56">
        <f>N56-583.3</f>
        <v>-275.28999999999974</v>
      </c>
      <c r="R56" s="135">
        <f>N56/583.3</f>
        <v>0.5280473169895427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f t="shared" si="6"/>
        <v>0</v>
      </c>
      <c r="F57" s="169">
        <v>0</v>
      </c>
      <c r="G57" s="49">
        <f t="shared" si="15"/>
        <v>0</v>
      </c>
      <c r="H57" s="40" t="e">
        <f t="shared" si="16"/>
        <v>#DIV/0!</v>
      </c>
      <c r="I57" s="56">
        <f t="shared" si="19"/>
        <v>0</v>
      </c>
      <c r="J57" s="56" t="e">
        <f t="shared" si="17"/>
        <v>#DIV/0!</v>
      </c>
      <c r="K57" s="56"/>
      <c r="L57" s="135">
        <f aca="true" t="shared" si="24" ref="L57:L67">F57</f>
        <v>0</v>
      </c>
      <c r="M57" s="40">
        <f>E57-листопад!E57</f>
        <v>0</v>
      </c>
      <c r="N57" s="40">
        <f>F57-листопад!F57</f>
        <v>0</v>
      </c>
      <c r="O57" s="53">
        <f t="shared" si="3"/>
        <v>0</v>
      </c>
      <c r="P57" s="56" t="e">
        <f t="shared" si="18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f t="shared" si="6"/>
        <v>0</v>
      </c>
      <c r="F58" s="169">
        <v>0</v>
      </c>
      <c r="G58" s="49">
        <f t="shared" si="15"/>
        <v>0</v>
      </c>
      <c r="H58" s="40" t="e">
        <f t="shared" si="16"/>
        <v>#DIV/0!</v>
      </c>
      <c r="I58" s="56">
        <f t="shared" si="19"/>
        <v>0</v>
      </c>
      <c r="J58" s="56" t="e">
        <f t="shared" si="17"/>
        <v>#DIV/0!</v>
      </c>
      <c r="K58" s="56"/>
      <c r="L58" s="135">
        <f t="shared" si="24"/>
        <v>0</v>
      </c>
      <c r="M58" s="40">
        <f>E58-листопад!E58</f>
        <v>0</v>
      </c>
      <c r="N58" s="40">
        <f>F58-листопад!F58</f>
        <v>0</v>
      </c>
      <c r="O58" s="53">
        <f t="shared" si="3"/>
        <v>0</v>
      </c>
      <c r="P58" s="56" t="e">
        <f t="shared" si="18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f t="shared" si="6"/>
        <v>0</v>
      </c>
      <c r="F59" s="169">
        <v>0</v>
      </c>
      <c r="G59" s="49">
        <f t="shared" si="15"/>
        <v>0</v>
      </c>
      <c r="H59" s="40" t="e">
        <f t="shared" si="16"/>
        <v>#DIV/0!</v>
      </c>
      <c r="I59" s="56">
        <f t="shared" si="19"/>
        <v>0</v>
      </c>
      <c r="J59" s="56" t="e">
        <f t="shared" si="17"/>
        <v>#DIV/0!</v>
      </c>
      <c r="K59" s="56"/>
      <c r="L59" s="135">
        <f t="shared" si="24"/>
        <v>0</v>
      </c>
      <c r="M59" s="40">
        <f>E59-листопад!E59</f>
        <v>0</v>
      </c>
      <c r="N59" s="40">
        <f>F59-листопад!F59</f>
        <v>0</v>
      </c>
      <c r="O59" s="53">
        <f t="shared" si="3"/>
        <v>0</v>
      </c>
      <c r="P59" s="56" t="e">
        <f t="shared" si="18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f t="shared" si="6"/>
        <v>0</v>
      </c>
      <c r="F60" s="169">
        <v>0</v>
      </c>
      <c r="G60" s="49">
        <f t="shared" si="15"/>
        <v>0</v>
      </c>
      <c r="H60" s="40" t="e">
        <f t="shared" si="16"/>
        <v>#DIV/0!</v>
      </c>
      <c r="I60" s="56">
        <f t="shared" si="19"/>
        <v>0</v>
      </c>
      <c r="J60" s="56" t="e">
        <f t="shared" si="17"/>
        <v>#DIV/0!</v>
      </c>
      <c r="K60" s="56"/>
      <c r="L60" s="135">
        <f t="shared" si="24"/>
        <v>0</v>
      </c>
      <c r="M60" s="40">
        <f>E60-листопад!E60</f>
        <v>0</v>
      </c>
      <c r="N60" s="40">
        <f>F60-листопад!F60</f>
        <v>0</v>
      </c>
      <c r="O60" s="53">
        <f t="shared" si="3"/>
        <v>0</v>
      </c>
      <c r="P60" s="56" t="e">
        <f t="shared" si="18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f t="shared" si="6"/>
        <v>0</v>
      </c>
      <c r="F61" s="169">
        <v>0</v>
      </c>
      <c r="G61" s="49">
        <f t="shared" si="15"/>
        <v>0</v>
      </c>
      <c r="H61" s="40" t="e">
        <f t="shared" si="16"/>
        <v>#DIV/0!</v>
      </c>
      <c r="I61" s="56">
        <f t="shared" si="19"/>
        <v>0</v>
      </c>
      <c r="J61" s="56" t="e">
        <f t="shared" si="17"/>
        <v>#DIV/0!</v>
      </c>
      <c r="K61" s="56"/>
      <c r="L61" s="135">
        <f t="shared" si="24"/>
        <v>0</v>
      </c>
      <c r="M61" s="40">
        <f>E61-листопад!E61</f>
        <v>0</v>
      </c>
      <c r="N61" s="40">
        <f>F61-листопад!F61</f>
        <v>0</v>
      </c>
      <c r="O61" s="53">
        <f t="shared" si="3"/>
        <v>0</v>
      </c>
      <c r="P61" s="56" t="e">
        <f t="shared" si="18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f t="shared" si="6"/>
        <v>0</v>
      </c>
      <c r="F62" s="169">
        <v>0</v>
      </c>
      <c r="G62" s="49">
        <f t="shared" si="15"/>
        <v>0</v>
      </c>
      <c r="H62" s="40" t="e">
        <f t="shared" si="16"/>
        <v>#DIV/0!</v>
      </c>
      <c r="I62" s="56">
        <f t="shared" si="19"/>
        <v>0</v>
      </c>
      <c r="J62" s="56" t="e">
        <f t="shared" si="17"/>
        <v>#DIV/0!</v>
      </c>
      <c r="K62" s="56"/>
      <c r="L62" s="135">
        <f t="shared" si="24"/>
        <v>0</v>
      </c>
      <c r="M62" s="40">
        <f>E62-листопад!E62</f>
        <v>0</v>
      </c>
      <c r="N62" s="40">
        <f>F62-листопад!F62</f>
        <v>0</v>
      </c>
      <c r="O62" s="53">
        <f t="shared" si="3"/>
        <v>0</v>
      </c>
      <c r="P62" s="56" t="e">
        <f t="shared" si="18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f t="shared" si="6"/>
        <v>0</v>
      </c>
      <c r="F63" s="169">
        <v>0</v>
      </c>
      <c r="G63" s="49">
        <f t="shared" si="15"/>
        <v>0</v>
      </c>
      <c r="H63" s="40" t="e">
        <f t="shared" si="16"/>
        <v>#DIV/0!</v>
      </c>
      <c r="I63" s="56">
        <f t="shared" si="19"/>
        <v>0</v>
      </c>
      <c r="J63" s="56" t="e">
        <f t="shared" si="17"/>
        <v>#DIV/0!</v>
      </c>
      <c r="K63" s="56"/>
      <c r="L63" s="135">
        <f t="shared" si="24"/>
        <v>0</v>
      </c>
      <c r="M63" s="40">
        <f>E63-листопад!E63</f>
        <v>0</v>
      </c>
      <c r="N63" s="40">
        <f>F63-листопад!F63</f>
        <v>0</v>
      </c>
      <c r="O63" s="53">
        <f t="shared" si="3"/>
        <v>0</v>
      </c>
      <c r="P63" s="56" t="e">
        <f t="shared" si="18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f t="shared" si="6"/>
        <v>0</v>
      </c>
      <c r="F64" s="169">
        <v>0</v>
      </c>
      <c r="G64" s="49">
        <f t="shared" si="15"/>
        <v>0</v>
      </c>
      <c r="H64" s="40" t="e">
        <f t="shared" si="16"/>
        <v>#DIV/0!</v>
      </c>
      <c r="I64" s="56">
        <f t="shared" si="19"/>
        <v>0</v>
      </c>
      <c r="J64" s="56" t="e">
        <f t="shared" si="17"/>
        <v>#DIV/0!</v>
      </c>
      <c r="K64" s="56"/>
      <c r="L64" s="135">
        <f t="shared" si="24"/>
        <v>0</v>
      </c>
      <c r="M64" s="40">
        <f>E64-листопад!E64</f>
        <v>0</v>
      </c>
      <c r="N64" s="40">
        <f>F64-листопад!F64</f>
        <v>0</v>
      </c>
      <c r="O64" s="53">
        <f t="shared" si="3"/>
        <v>0</v>
      </c>
      <c r="P64" s="56" t="e">
        <f t="shared" si="18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f t="shared" si="6"/>
        <v>0</v>
      </c>
      <c r="F65" s="169">
        <v>0</v>
      </c>
      <c r="G65" s="49">
        <f t="shared" si="15"/>
        <v>0</v>
      </c>
      <c r="H65" s="40" t="e">
        <f t="shared" si="16"/>
        <v>#DIV/0!</v>
      </c>
      <c r="I65" s="56">
        <f t="shared" si="19"/>
        <v>0</v>
      </c>
      <c r="J65" s="56" t="e">
        <f t="shared" si="17"/>
        <v>#DIV/0!</v>
      </c>
      <c r="K65" s="56"/>
      <c r="L65" s="135">
        <f t="shared" si="24"/>
        <v>0</v>
      </c>
      <c r="M65" s="40">
        <f>E65-листопад!E65</f>
        <v>0</v>
      </c>
      <c r="N65" s="40">
        <f>F65-листопад!F65</f>
        <v>0</v>
      </c>
      <c r="O65" s="53">
        <f t="shared" si="3"/>
        <v>0</v>
      </c>
      <c r="P65" s="56" t="e">
        <f t="shared" si="18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f t="shared" si="6"/>
        <v>0</v>
      </c>
      <c r="F66" s="169">
        <v>0</v>
      </c>
      <c r="G66" s="49">
        <f t="shared" si="15"/>
        <v>0</v>
      </c>
      <c r="H66" s="40" t="e">
        <f t="shared" si="16"/>
        <v>#DIV/0!</v>
      </c>
      <c r="I66" s="56">
        <f t="shared" si="19"/>
        <v>0</v>
      </c>
      <c r="J66" s="56" t="e">
        <f t="shared" si="17"/>
        <v>#DIV/0!</v>
      </c>
      <c r="K66" s="56"/>
      <c r="L66" s="135">
        <f t="shared" si="24"/>
        <v>0</v>
      </c>
      <c r="M66" s="40">
        <f>E66-листопад!E66</f>
        <v>0</v>
      </c>
      <c r="N66" s="40">
        <f>F66-листопад!F66</f>
        <v>0</v>
      </c>
      <c r="O66" s="53">
        <f t="shared" si="3"/>
        <v>0</v>
      </c>
      <c r="P66" s="56" t="e">
        <f t="shared" si="18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f t="shared" si="6"/>
        <v>0</v>
      </c>
      <c r="F67" s="169">
        <v>0</v>
      </c>
      <c r="G67" s="49">
        <f t="shared" si="15"/>
        <v>0</v>
      </c>
      <c r="H67" s="40" t="e">
        <f t="shared" si="16"/>
        <v>#DIV/0!</v>
      </c>
      <c r="I67" s="56">
        <f t="shared" si="19"/>
        <v>0</v>
      </c>
      <c r="J67" s="56" t="e">
        <f t="shared" si="17"/>
        <v>#DIV/0!</v>
      </c>
      <c r="K67" s="56"/>
      <c r="L67" s="135">
        <f t="shared" si="24"/>
        <v>0</v>
      </c>
      <c r="M67" s="40">
        <f>E67-листопад!E67</f>
        <v>0</v>
      </c>
      <c r="N67" s="40">
        <f>F67-листопад!F67</f>
        <v>0</v>
      </c>
      <c r="O67" s="53">
        <f t="shared" si="3"/>
        <v>0</v>
      </c>
      <c r="P67" s="56" t="e">
        <f t="shared" si="18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f t="shared" si="6"/>
        <v>0.1</v>
      </c>
      <c r="F68" s="169">
        <v>1.95</v>
      </c>
      <c r="G68" s="49">
        <f t="shared" si="15"/>
        <v>1.8499999999999999</v>
      </c>
      <c r="H68" s="40"/>
      <c r="I68" s="56">
        <f t="shared" si="19"/>
        <v>1.8499999999999999</v>
      </c>
      <c r="J68" s="56">
        <f t="shared" si="17"/>
        <v>1950</v>
      </c>
      <c r="K68" s="56">
        <f>F68-(-1.7)</f>
        <v>3.65</v>
      </c>
      <c r="L68" s="135"/>
      <c r="M68" s="40">
        <f>E68-листопад!E68</f>
        <v>0</v>
      </c>
      <c r="N68" s="40">
        <f>F68-листопад!F68</f>
        <v>0</v>
      </c>
      <c r="O68" s="53">
        <f t="shared" si="3"/>
        <v>0</v>
      </c>
      <c r="P68" s="56"/>
      <c r="Q68" s="56">
        <f>N68-0.2</f>
        <v>-0.2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5"/>
        <v>0</v>
      </c>
      <c r="H69" s="40" t="e">
        <f>F69/E69*100</f>
        <v>#DIV/0!</v>
      </c>
      <c r="I69" s="56">
        <f t="shared" si="19"/>
        <v>0</v>
      </c>
      <c r="J69" s="56" t="e">
        <f t="shared" si="17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5"/>
        <v>0</v>
      </c>
      <c r="H70" s="40" t="e">
        <f>F70/E70*100</f>
        <v>#DIV/0!</v>
      </c>
      <c r="I70" s="56">
        <f t="shared" si="19"/>
        <v>0</v>
      </c>
      <c r="J70" s="56" t="e">
        <f t="shared" si="17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5"/>
        <v>0</v>
      </c>
      <c r="H71" s="40" t="e">
        <f>F71/E71*100</f>
        <v>#DIV/0!</v>
      </c>
      <c r="I71" s="56">
        <f t="shared" si="19"/>
        <v>-4590</v>
      </c>
      <c r="J71" s="56">
        <f t="shared" si="17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5"/>
        <v>0</v>
      </c>
      <c r="H72" s="40" t="e">
        <f>F72/E72*100</f>
        <v>#DIV/0!</v>
      </c>
      <c r="I72" s="56">
        <f t="shared" si="19"/>
        <v>-4410</v>
      </c>
      <c r="J72" s="56">
        <f t="shared" si="17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18358.3</v>
      </c>
      <c r="F74" s="22">
        <f>F77+F86+F88+F89+F94+F95+F96+F97+F99+F104+F87+F103</f>
        <v>12740.480000000001</v>
      </c>
      <c r="G74" s="50">
        <f aca="true" t="shared" si="25" ref="G74:G92">F74-E74</f>
        <v>-5617.819999999998</v>
      </c>
      <c r="H74" s="51">
        <f aca="true" t="shared" si="26" ref="H74:H87">F74/E74*100</f>
        <v>69.3990184276322</v>
      </c>
      <c r="I74" s="36">
        <f aca="true" t="shared" si="27" ref="I74:I92">F74-D74</f>
        <v>-5617.819999999998</v>
      </c>
      <c r="J74" s="36">
        <f aca="true" t="shared" si="28" ref="J74:J92">F74/D74*100</f>
        <v>69.3990184276322</v>
      </c>
      <c r="K74" s="36">
        <f>F74-19611.3</f>
        <v>-6870.819999999998</v>
      </c>
      <c r="L74" s="136">
        <f>F74/19611.3</f>
        <v>0.6496499467143944</v>
      </c>
      <c r="M74" s="22">
        <f>M77+M86+M88+M89+M94+M95+M96+M97+M99+M87+M104</f>
        <v>3081.2999999999997</v>
      </c>
      <c r="N74" s="22">
        <f>N77+N86+N88+N89+N94+N95+N96+N97+N99+N32+N104+N87+N103</f>
        <v>836.0800000000002</v>
      </c>
      <c r="O74" s="55">
        <f aca="true" t="shared" si="29" ref="O74:O92">N74-M74</f>
        <v>-2245.2199999999993</v>
      </c>
      <c r="P74" s="36">
        <f>N74/M74*100</f>
        <v>27.134001882322405</v>
      </c>
      <c r="Q74" s="36">
        <f>N74-1783.5</f>
        <v>-947.4199999999998</v>
      </c>
      <c r="R74" s="136">
        <f>N74/1783.5</f>
        <v>0.4687860947574994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5"/>
        <v>#REF!</v>
      </c>
      <c r="H75" s="40" t="e">
        <f t="shared" si="26"/>
        <v>#REF!</v>
      </c>
      <c r="I75" s="56" t="e">
        <f t="shared" si="27"/>
        <v>#REF!</v>
      </c>
      <c r="J75" s="56" t="e">
        <f t="shared" si="28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9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5"/>
        <v>0</v>
      </c>
      <c r="H76" s="40" t="e">
        <f t="shared" si="26"/>
        <v>#DIV/0!</v>
      </c>
      <c r="I76" s="56" t="e">
        <f t="shared" si="27"/>
        <v>#REF!</v>
      </c>
      <c r="J76" s="56" t="e">
        <f t="shared" si="28"/>
        <v>#REF!</v>
      </c>
      <c r="K76" s="56"/>
      <c r="L76" s="135"/>
      <c r="M76" s="59"/>
      <c r="N76" s="59"/>
      <c r="O76" s="53">
        <f t="shared" si="29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f>D77</f>
        <v>500</v>
      </c>
      <c r="F77" s="169">
        <v>153.52</v>
      </c>
      <c r="G77" s="49">
        <f t="shared" si="25"/>
        <v>-346.48</v>
      </c>
      <c r="H77" s="40">
        <f t="shared" si="26"/>
        <v>30.704000000000004</v>
      </c>
      <c r="I77" s="56">
        <f t="shared" si="27"/>
        <v>-346.48</v>
      </c>
      <c r="J77" s="56">
        <f t="shared" si="28"/>
        <v>30.704000000000004</v>
      </c>
      <c r="K77" s="167">
        <f>F77-1727.8</f>
        <v>-1574.28</v>
      </c>
      <c r="L77" s="168">
        <f>F77/1727.8</f>
        <v>0.08885287649033453</v>
      </c>
      <c r="M77" s="40">
        <f>E77-листопад!E77</f>
        <v>340</v>
      </c>
      <c r="N77" s="40">
        <f>F77-листопад!F77</f>
        <v>0</v>
      </c>
      <c r="O77" s="53">
        <f t="shared" si="29"/>
        <v>-340</v>
      </c>
      <c r="P77" s="56">
        <f aca="true" t="shared" si="30" ref="P77:P87">N77/M77*100</f>
        <v>0</v>
      </c>
      <c r="Q77" s="56">
        <f>N77-0</f>
        <v>0</v>
      </c>
      <c r="R77" s="135"/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f aca="true" t="shared" si="31" ref="E78:E106">D78</f>
        <v>0</v>
      </c>
      <c r="F78" s="169">
        <v>0</v>
      </c>
      <c r="G78" s="49">
        <f t="shared" si="25"/>
        <v>0</v>
      </c>
      <c r="H78" s="40" t="e">
        <f t="shared" si="26"/>
        <v>#DIV/0!</v>
      </c>
      <c r="I78" s="56">
        <f t="shared" si="27"/>
        <v>0</v>
      </c>
      <c r="J78" s="56" t="e">
        <f t="shared" si="28"/>
        <v>#DIV/0!</v>
      </c>
      <c r="K78" s="56"/>
      <c r="L78" s="135">
        <f aca="true" t="shared" si="32" ref="L78:L85">F78/1273.9</f>
        <v>0</v>
      </c>
      <c r="M78" s="40">
        <f>E78-листопад!E78</f>
        <v>0</v>
      </c>
      <c r="N78" s="40">
        <f>F78-листопад!F78</f>
        <v>0</v>
      </c>
      <c r="O78" s="53">
        <f t="shared" si="29"/>
        <v>0</v>
      </c>
      <c r="P78" s="56" t="e">
        <f t="shared" si="30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f t="shared" si="31"/>
        <v>0</v>
      </c>
      <c r="F79" s="169">
        <v>0</v>
      </c>
      <c r="G79" s="49">
        <f t="shared" si="25"/>
        <v>0</v>
      </c>
      <c r="H79" s="40" t="e">
        <f t="shared" si="26"/>
        <v>#DIV/0!</v>
      </c>
      <c r="I79" s="56">
        <f t="shared" si="27"/>
        <v>0</v>
      </c>
      <c r="J79" s="56" t="e">
        <f t="shared" si="28"/>
        <v>#DIV/0!</v>
      </c>
      <c r="K79" s="56"/>
      <c r="L79" s="135">
        <f t="shared" si="32"/>
        <v>0</v>
      </c>
      <c r="M79" s="40">
        <f>E79-листопад!E79</f>
        <v>0</v>
      </c>
      <c r="N79" s="40">
        <f>F79-листопад!F79</f>
        <v>0</v>
      </c>
      <c r="O79" s="53">
        <f t="shared" si="29"/>
        <v>0</v>
      </c>
      <c r="P79" s="56" t="e">
        <f t="shared" si="30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f t="shared" si="31"/>
        <v>0</v>
      </c>
      <c r="F80" s="169">
        <v>0</v>
      </c>
      <c r="G80" s="49">
        <f t="shared" si="25"/>
        <v>0</v>
      </c>
      <c r="H80" s="40" t="e">
        <f t="shared" si="26"/>
        <v>#DIV/0!</v>
      </c>
      <c r="I80" s="56">
        <f t="shared" si="27"/>
        <v>0</v>
      </c>
      <c r="J80" s="56" t="e">
        <f t="shared" si="28"/>
        <v>#DIV/0!</v>
      </c>
      <c r="K80" s="56"/>
      <c r="L80" s="135">
        <f t="shared" si="32"/>
        <v>0</v>
      </c>
      <c r="M80" s="40">
        <f>E80-листопад!E80</f>
        <v>0</v>
      </c>
      <c r="N80" s="40">
        <f>F80-листопад!F80</f>
        <v>0</v>
      </c>
      <c r="O80" s="53">
        <f t="shared" si="29"/>
        <v>0</v>
      </c>
      <c r="P80" s="56" t="e">
        <f t="shared" si="30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f t="shared" si="31"/>
        <v>0</v>
      </c>
      <c r="F81" s="169">
        <v>0</v>
      </c>
      <c r="G81" s="49">
        <f t="shared" si="25"/>
        <v>0</v>
      </c>
      <c r="H81" s="40" t="e">
        <f t="shared" si="26"/>
        <v>#DIV/0!</v>
      </c>
      <c r="I81" s="56">
        <f t="shared" si="27"/>
        <v>0</v>
      </c>
      <c r="J81" s="56" t="e">
        <f t="shared" si="28"/>
        <v>#DIV/0!</v>
      </c>
      <c r="K81" s="56"/>
      <c r="L81" s="135">
        <f t="shared" si="32"/>
        <v>0</v>
      </c>
      <c r="M81" s="40">
        <f>E81-листопад!E81</f>
        <v>0</v>
      </c>
      <c r="N81" s="40">
        <f>F81-листопад!F81</f>
        <v>0</v>
      </c>
      <c r="O81" s="53">
        <f t="shared" si="29"/>
        <v>0</v>
      </c>
      <c r="P81" s="56" t="e">
        <f t="shared" si="30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f t="shared" si="31"/>
        <v>0</v>
      </c>
      <c r="F82" s="169">
        <v>0</v>
      </c>
      <c r="G82" s="49">
        <f t="shared" si="25"/>
        <v>0</v>
      </c>
      <c r="H82" s="40" t="e">
        <f t="shared" si="26"/>
        <v>#DIV/0!</v>
      </c>
      <c r="I82" s="56">
        <f t="shared" si="27"/>
        <v>0</v>
      </c>
      <c r="J82" s="56" t="e">
        <f t="shared" si="28"/>
        <v>#DIV/0!</v>
      </c>
      <c r="K82" s="56"/>
      <c r="L82" s="135">
        <f t="shared" si="32"/>
        <v>0</v>
      </c>
      <c r="M82" s="40">
        <f>E82-листопад!E82</f>
        <v>0</v>
      </c>
      <c r="N82" s="40">
        <f>F82-листопад!F82</f>
        <v>0</v>
      </c>
      <c r="O82" s="53">
        <f t="shared" si="29"/>
        <v>0</v>
      </c>
      <c r="P82" s="56" t="e">
        <f t="shared" si="30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f t="shared" si="31"/>
        <v>0</v>
      </c>
      <c r="F83" s="169">
        <v>0</v>
      </c>
      <c r="G83" s="49">
        <f t="shared" si="25"/>
        <v>0</v>
      </c>
      <c r="H83" s="40" t="e">
        <f t="shared" si="26"/>
        <v>#DIV/0!</v>
      </c>
      <c r="I83" s="56">
        <f t="shared" si="27"/>
        <v>0</v>
      </c>
      <c r="J83" s="56" t="e">
        <f t="shared" si="28"/>
        <v>#DIV/0!</v>
      </c>
      <c r="K83" s="56"/>
      <c r="L83" s="135">
        <f t="shared" si="32"/>
        <v>0</v>
      </c>
      <c r="M83" s="40">
        <f>E83-листопад!E83</f>
        <v>0</v>
      </c>
      <c r="N83" s="40">
        <f>F83-листопад!F83</f>
        <v>0</v>
      </c>
      <c r="O83" s="53">
        <f t="shared" si="29"/>
        <v>0</v>
      </c>
      <c r="P83" s="56" t="e">
        <f t="shared" si="30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f t="shared" si="31"/>
        <v>0</v>
      </c>
      <c r="F84" s="169">
        <v>0</v>
      </c>
      <c r="G84" s="49">
        <f t="shared" si="25"/>
        <v>0</v>
      </c>
      <c r="H84" s="40" t="e">
        <f t="shared" si="26"/>
        <v>#DIV/0!</v>
      </c>
      <c r="I84" s="56">
        <f t="shared" si="27"/>
        <v>0</v>
      </c>
      <c r="J84" s="56" t="e">
        <f t="shared" si="28"/>
        <v>#DIV/0!</v>
      </c>
      <c r="K84" s="56"/>
      <c r="L84" s="135">
        <f t="shared" si="32"/>
        <v>0</v>
      </c>
      <c r="M84" s="40">
        <f>E84-листопад!E84</f>
        <v>0</v>
      </c>
      <c r="N84" s="40">
        <f>F84-листопад!F84</f>
        <v>0</v>
      </c>
      <c r="O84" s="53">
        <f t="shared" si="29"/>
        <v>0</v>
      </c>
      <c r="P84" s="56" t="e">
        <f t="shared" si="30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f t="shared" si="31"/>
        <v>0</v>
      </c>
      <c r="F85" s="169">
        <v>0</v>
      </c>
      <c r="G85" s="49">
        <f t="shared" si="25"/>
        <v>0</v>
      </c>
      <c r="H85" s="40" t="e">
        <f t="shared" si="26"/>
        <v>#DIV/0!</v>
      </c>
      <c r="I85" s="56">
        <f t="shared" si="27"/>
        <v>0</v>
      </c>
      <c r="J85" s="56" t="e">
        <f t="shared" si="28"/>
        <v>#DIV/0!</v>
      </c>
      <c r="K85" s="56"/>
      <c r="L85" s="135">
        <f t="shared" si="32"/>
        <v>0</v>
      </c>
      <c r="M85" s="40">
        <f>E85-листопад!E85</f>
        <v>0</v>
      </c>
      <c r="N85" s="40">
        <f>F85-листопад!F85</f>
        <v>0</v>
      </c>
      <c r="O85" s="53">
        <f t="shared" si="29"/>
        <v>0</v>
      </c>
      <c r="P85" s="56" t="e">
        <f t="shared" si="30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f t="shared" si="31"/>
        <v>4300</v>
      </c>
      <c r="F86" s="169">
        <v>0</v>
      </c>
      <c r="G86" s="49">
        <f t="shared" si="25"/>
        <v>-4300</v>
      </c>
      <c r="H86" s="40">
        <f t="shared" si="26"/>
        <v>0</v>
      </c>
      <c r="I86" s="56">
        <f t="shared" si="27"/>
        <v>-4300</v>
      </c>
      <c r="J86" s="56">
        <f t="shared" si="28"/>
        <v>0</v>
      </c>
      <c r="K86" s="167">
        <f>F86-4309.2</f>
        <v>-4309.2</v>
      </c>
      <c r="L86" s="168"/>
      <c r="M86" s="40">
        <f>E86-листопад!E86</f>
        <v>740</v>
      </c>
      <c r="N86" s="40">
        <f>F86-листопад!F86</f>
        <v>0</v>
      </c>
      <c r="O86" s="53">
        <f t="shared" si="29"/>
        <v>-740</v>
      </c>
      <c r="P86" s="56">
        <f t="shared" si="30"/>
        <v>0</v>
      </c>
      <c r="Q86" s="56">
        <f>N86-736.8</f>
        <v>-736.8</v>
      </c>
      <c r="R86" s="135">
        <f>N86/736.8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f t="shared" si="31"/>
        <v>500</v>
      </c>
      <c r="F87" s="169">
        <v>266.4</v>
      </c>
      <c r="G87" s="49">
        <f t="shared" si="25"/>
        <v>-233.60000000000002</v>
      </c>
      <c r="H87" s="40">
        <f t="shared" si="26"/>
        <v>53.279999999999994</v>
      </c>
      <c r="I87" s="56">
        <f t="shared" si="27"/>
        <v>-233.60000000000002</v>
      </c>
      <c r="J87" s="56">
        <f t="shared" si="28"/>
        <v>53.279999999999994</v>
      </c>
      <c r="K87" s="56">
        <f>F87-264.6</f>
        <v>1.7999999999999545</v>
      </c>
      <c r="L87" s="135">
        <f>F87/264.6</f>
        <v>1.0068027210884352</v>
      </c>
      <c r="M87" s="40">
        <f>E87-листопад!E87</f>
        <v>280</v>
      </c>
      <c r="N87" s="40">
        <f>F87-листопад!F87</f>
        <v>23.609999999999985</v>
      </c>
      <c r="O87" s="53">
        <f t="shared" si="29"/>
        <v>-256.39</v>
      </c>
      <c r="P87" s="56">
        <f t="shared" si="30"/>
        <v>8.432142857142852</v>
      </c>
      <c r="Q87" s="56">
        <f>N87-36.8</f>
        <v>-13.190000000000012</v>
      </c>
      <c r="R87" s="135">
        <f>N87/36.8</f>
        <v>0.6415760869565214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f t="shared" si="31"/>
        <v>5.1</v>
      </c>
      <c r="F88" s="169">
        <v>5.94</v>
      </c>
      <c r="G88" s="49">
        <f t="shared" si="25"/>
        <v>0.8400000000000007</v>
      </c>
      <c r="H88" s="40">
        <f>F88/E88*100</f>
        <v>116.47058823529413</v>
      </c>
      <c r="I88" s="56">
        <f t="shared" si="27"/>
        <v>0.8400000000000007</v>
      </c>
      <c r="J88" s="56">
        <f t="shared" si="28"/>
        <v>116.47058823529413</v>
      </c>
      <c r="K88" s="56">
        <f>F88-4.9</f>
        <v>1.04</v>
      </c>
      <c r="L88" s="135"/>
      <c r="M88" s="40">
        <f>E88-листопад!E88</f>
        <v>0.5999999999999996</v>
      </c>
      <c r="N88" s="40">
        <f>F88-листопад!F88</f>
        <v>0</v>
      </c>
      <c r="O88" s="53">
        <f t="shared" si="29"/>
        <v>-0.5999999999999996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f t="shared" si="31"/>
        <v>175</v>
      </c>
      <c r="F89" s="169">
        <v>126.09</v>
      </c>
      <c r="G89" s="49">
        <f t="shared" si="25"/>
        <v>-48.91</v>
      </c>
      <c r="H89" s="40">
        <f>F89/E89*100</f>
        <v>72.05142857142857</v>
      </c>
      <c r="I89" s="56">
        <f t="shared" si="27"/>
        <v>-48.91</v>
      </c>
      <c r="J89" s="56">
        <f t="shared" si="28"/>
        <v>72.05142857142857</v>
      </c>
      <c r="K89" s="56">
        <f>F89-166.8</f>
        <v>-40.71000000000001</v>
      </c>
      <c r="L89" s="135">
        <f>F89/166.8</f>
        <v>0.7559352517985611</v>
      </c>
      <c r="M89" s="40">
        <f>E89-листопад!E89</f>
        <v>16</v>
      </c>
      <c r="N89" s="40">
        <f>F89-листопад!F89</f>
        <v>4.530000000000001</v>
      </c>
      <c r="O89" s="53">
        <f t="shared" si="29"/>
        <v>-11.469999999999999</v>
      </c>
      <c r="P89" s="56">
        <f>N89/M89*100</f>
        <v>28.312500000000007</v>
      </c>
      <c r="Q89" s="56">
        <f>N89-18.9</f>
        <v>-14.369999999999997</v>
      </c>
      <c r="R89" s="135">
        <f>N89/18.9</f>
        <v>0.23968253968253975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f t="shared" si="31"/>
        <v>0</v>
      </c>
      <c r="F90" s="169">
        <v>0</v>
      </c>
      <c r="G90" s="49">
        <f t="shared" si="25"/>
        <v>0</v>
      </c>
      <c r="H90" s="40" t="e">
        <f>F90/E90*100</f>
        <v>#DIV/0!</v>
      </c>
      <c r="I90" s="56">
        <f t="shared" si="27"/>
        <v>0</v>
      </c>
      <c r="J90" s="56" t="e">
        <f t="shared" si="28"/>
        <v>#DIV/0!</v>
      </c>
      <c r="K90" s="56"/>
      <c r="L90" s="135">
        <f>F90</f>
        <v>0</v>
      </c>
      <c r="M90" s="40">
        <f>E90-листопад!E90</f>
        <v>0</v>
      </c>
      <c r="N90" s="40">
        <f>F90-листопад!F90</f>
        <v>0</v>
      </c>
      <c r="O90" s="53">
        <f t="shared" si="29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f t="shared" si="31"/>
        <v>0</v>
      </c>
      <c r="F91" s="169">
        <v>0</v>
      </c>
      <c r="G91" s="49">
        <f t="shared" si="25"/>
        <v>0</v>
      </c>
      <c r="H91" s="40" t="e">
        <f>F91/E91*100</f>
        <v>#DIV/0!</v>
      </c>
      <c r="I91" s="56">
        <f t="shared" si="27"/>
        <v>0</v>
      </c>
      <c r="J91" s="56" t="e">
        <f t="shared" si="28"/>
        <v>#DIV/0!</v>
      </c>
      <c r="K91" s="56"/>
      <c r="L91" s="135">
        <f>F91</f>
        <v>0</v>
      </c>
      <c r="M91" s="40">
        <f>E91-листопад!E91</f>
        <v>0</v>
      </c>
      <c r="N91" s="40">
        <f>F91-листопад!F91</f>
        <v>0</v>
      </c>
      <c r="O91" s="53">
        <f t="shared" si="29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f t="shared" si="31"/>
        <v>0</v>
      </c>
      <c r="F92" s="169">
        <v>0</v>
      </c>
      <c r="G92" s="49">
        <f t="shared" si="25"/>
        <v>0</v>
      </c>
      <c r="H92" s="40" t="e">
        <f>F92/E92*100</f>
        <v>#DIV/0!</v>
      </c>
      <c r="I92" s="56">
        <f t="shared" si="27"/>
        <v>0</v>
      </c>
      <c r="J92" s="56" t="e">
        <f t="shared" si="28"/>
        <v>#DIV/0!</v>
      </c>
      <c r="K92" s="56"/>
      <c r="L92" s="135">
        <f>F92</f>
        <v>0</v>
      </c>
      <c r="M92" s="40">
        <f>E92-листопад!E92</f>
        <v>0</v>
      </c>
      <c r="N92" s="40">
        <f>F92-листопад!F92</f>
        <v>0</v>
      </c>
      <c r="O92" s="53">
        <f t="shared" si="29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f t="shared" si="31"/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E93-листопад!E93</f>
        <v>0</v>
      </c>
      <c r="N93" s="40">
        <f>F93-листопад!F93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f t="shared" si="31"/>
        <v>0</v>
      </c>
      <c r="F94" s="169">
        <v>0</v>
      </c>
      <c r="G94" s="49">
        <f aca="true" t="shared" si="33" ref="G94:G101">F94-E94</f>
        <v>0</v>
      </c>
      <c r="H94" s="40"/>
      <c r="I94" s="56">
        <f aca="true" t="shared" si="34" ref="I94:I100">F94-D94</f>
        <v>0</v>
      </c>
      <c r="J94" s="56"/>
      <c r="K94" s="56"/>
      <c r="L94" s="135">
        <f>F94</f>
        <v>0</v>
      </c>
      <c r="M94" s="40">
        <f>E94-листопад!E94</f>
        <v>0</v>
      </c>
      <c r="N94" s="40">
        <f>F94-листопад!F94</f>
        <v>0</v>
      </c>
      <c r="O94" s="53">
        <f aca="true" t="shared" si="35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f t="shared" si="31"/>
        <v>7000</v>
      </c>
      <c r="F95" s="169">
        <v>7151.14</v>
      </c>
      <c r="G95" s="49">
        <f t="shared" si="33"/>
        <v>151.14000000000033</v>
      </c>
      <c r="H95" s="40">
        <f>F95/E95*100</f>
        <v>102.15914285714287</v>
      </c>
      <c r="I95" s="56">
        <f t="shared" si="34"/>
        <v>151.14000000000033</v>
      </c>
      <c r="J95" s="56">
        <f>F95/D95*100</f>
        <v>102.15914285714287</v>
      </c>
      <c r="K95" s="56">
        <f>F95-7293.9</f>
        <v>-142.7599999999993</v>
      </c>
      <c r="L95" s="135">
        <f>F95/7293.9</f>
        <v>0.980427480497402</v>
      </c>
      <c r="M95" s="40">
        <f>E95-листопад!E95</f>
        <v>593.5</v>
      </c>
      <c r="N95" s="40">
        <f>F95-листопад!F95</f>
        <v>577.2300000000005</v>
      </c>
      <c r="O95" s="53">
        <f t="shared" si="35"/>
        <v>-16.269999999999527</v>
      </c>
      <c r="P95" s="56">
        <f>N95/M95*100</f>
        <v>97.25863521482736</v>
      </c>
      <c r="Q95" s="56">
        <f>N95-532.9</f>
        <v>44.330000000000496</v>
      </c>
      <c r="R95" s="135">
        <f>N95/532.9</f>
        <v>1.0831863389003575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f t="shared" si="31"/>
        <v>1200</v>
      </c>
      <c r="F96" s="169">
        <v>1001.87</v>
      </c>
      <c r="G96" s="49">
        <f t="shared" si="33"/>
        <v>-198.13</v>
      </c>
      <c r="H96" s="40">
        <f>F96/E96*100</f>
        <v>83.48916666666668</v>
      </c>
      <c r="I96" s="56">
        <f t="shared" si="34"/>
        <v>-198.13</v>
      </c>
      <c r="J96" s="56">
        <f>F96/D96*100</f>
        <v>83.48916666666668</v>
      </c>
      <c r="K96" s="56">
        <f>F96-1134.1</f>
        <v>-132.2299999999999</v>
      </c>
      <c r="L96" s="135">
        <f>F96/1134.1</f>
        <v>0.8834053434441408</v>
      </c>
      <c r="M96" s="40">
        <f>E96-листопад!E96</f>
        <v>185.5</v>
      </c>
      <c r="N96" s="40">
        <f>F96-листопад!F96</f>
        <v>26.42999999999995</v>
      </c>
      <c r="O96" s="53">
        <f t="shared" si="35"/>
        <v>-159.07000000000005</v>
      </c>
      <c r="P96" s="56">
        <f>N96/M96*100</f>
        <v>14.247978436657654</v>
      </c>
      <c r="Q96" s="56">
        <f>N96-120.3</f>
        <v>-93.87000000000005</v>
      </c>
      <c r="R96" s="135">
        <f>N96/120.3</f>
        <v>0.2197007481296754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f t="shared" si="31"/>
        <v>40</v>
      </c>
      <c r="F97" s="169">
        <v>0.53</v>
      </c>
      <c r="G97" s="49">
        <f t="shared" si="33"/>
        <v>-39.47</v>
      </c>
      <c r="H97" s="40"/>
      <c r="I97" s="56">
        <f t="shared" si="34"/>
        <v>-39.47</v>
      </c>
      <c r="J97" s="56"/>
      <c r="K97" s="56">
        <f>F97-56.5</f>
        <v>-55.97</v>
      </c>
      <c r="L97" s="135">
        <f>F97/56.5</f>
        <v>0.009380530973451328</v>
      </c>
      <c r="M97" s="40">
        <f>E97-листопад!E97</f>
        <v>20</v>
      </c>
      <c r="N97" s="40">
        <f>F97-листопад!F97</f>
        <v>0</v>
      </c>
      <c r="O97" s="53">
        <f t="shared" si="35"/>
        <v>-20</v>
      </c>
      <c r="P97" s="56"/>
      <c r="Q97" s="56">
        <f>N97-16</f>
        <v>-16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f t="shared" si="31"/>
        <v>0</v>
      </c>
      <c r="F98" s="169">
        <v>0</v>
      </c>
      <c r="G98" s="49">
        <f t="shared" si="33"/>
        <v>0</v>
      </c>
      <c r="H98" s="40" t="e">
        <f>F98/E98*100</f>
        <v>#DIV/0!</v>
      </c>
      <c r="I98" s="56">
        <f t="shared" si="34"/>
        <v>0</v>
      </c>
      <c r="J98" s="56" t="e">
        <f>F98/D98*100</f>
        <v>#DIV/0!</v>
      </c>
      <c r="K98" s="56"/>
      <c r="L98" s="135">
        <f>F98</f>
        <v>0</v>
      </c>
      <c r="M98" s="40">
        <f>E98-листопад!E98</f>
        <v>0</v>
      </c>
      <c r="N98" s="40">
        <f>F98-листопад!F98</f>
        <v>0</v>
      </c>
      <c r="O98" s="53">
        <f t="shared" si="35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f t="shared" si="31"/>
        <v>4572.7</v>
      </c>
      <c r="F99" s="169">
        <v>4016.97</v>
      </c>
      <c r="G99" s="49">
        <f t="shared" si="33"/>
        <v>-555.73</v>
      </c>
      <c r="H99" s="40">
        <f>F99/E99*100</f>
        <v>87.84678636254291</v>
      </c>
      <c r="I99" s="56">
        <f t="shared" si="34"/>
        <v>-555.73</v>
      </c>
      <c r="J99" s="56">
        <f>F99/D99*100</f>
        <v>87.84678636254291</v>
      </c>
      <c r="K99" s="56">
        <f>F99-4500.7</f>
        <v>-483.73</v>
      </c>
      <c r="L99" s="135">
        <f>F99/4500.7</f>
        <v>0.8925211633745862</v>
      </c>
      <c r="M99" s="40">
        <f>E99-листопад!E99</f>
        <v>905.6999999999998</v>
      </c>
      <c r="N99" s="40">
        <f>F99-листопад!F99</f>
        <v>204.27999999999975</v>
      </c>
      <c r="O99" s="53">
        <f t="shared" si="35"/>
        <v>-701.4200000000001</v>
      </c>
      <c r="P99" s="56">
        <f>N99/M99*100</f>
        <v>22.554929888484022</v>
      </c>
      <c r="Q99" s="56">
        <f>N99-321.9</f>
        <v>-117.62000000000023</v>
      </c>
      <c r="R99" s="135">
        <f>N99/321.9</f>
        <v>0.6346070208139166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f t="shared" si="31"/>
        <v>0</v>
      </c>
      <c r="F100" s="169">
        <v>0</v>
      </c>
      <c r="G100" s="49">
        <f t="shared" si="33"/>
        <v>0</v>
      </c>
      <c r="H100" s="40" t="e">
        <f>F100/E100*100</f>
        <v>#DIV/0!</v>
      </c>
      <c r="I100" s="56">
        <f t="shared" si="34"/>
        <v>0</v>
      </c>
      <c r="J100" s="56" t="e">
        <f>F100/D100*100</f>
        <v>#DIV/0!</v>
      </c>
      <c r="K100" s="56"/>
      <c r="L100" s="135">
        <f>F100</f>
        <v>0</v>
      </c>
      <c r="M100" s="40">
        <f>E100-листопад!E100</f>
        <v>0</v>
      </c>
      <c r="N100" s="40">
        <f>F100-листопад!F100</f>
        <v>0</v>
      </c>
      <c r="O100" s="53">
        <f t="shared" si="35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f t="shared" si="31"/>
        <v>0</v>
      </c>
      <c r="F101" s="169">
        <v>0</v>
      </c>
      <c r="G101" s="49">
        <f t="shared" si="33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E101-листопад!E101</f>
        <v>0</v>
      </c>
      <c r="N101" s="40">
        <f>F101-листопад!F101</f>
        <v>0</v>
      </c>
      <c r="O101" s="53">
        <f t="shared" si="35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41"/>
      <c r="F102" s="170">
        <v>964.1</v>
      </c>
      <c r="G102" s="144"/>
      <c r="H102" s="146"/>
      <c r="I102" s="145"/>
      <c r="J102" s="145"/>
      <c r="K102" s="148">
        <f>F102-816.5</f>
        <v>147.60000000000002</v>
      </c>
      <c r="L102" s="149">
        <f>F102/816.5</f>
        <v>1.180771586037967</v>
      </c>
      <c r="M102" s="40">
        <f>E102-листопад!E102</f>
        <v>0</v>
      </c>
      <c r="N102" s="40">
        <f>F102-листопад!F102</f>
        <v>37.200000000000045</v>
      </c>
      <c r="O102" s="53"/>
      <c r="P102" s="60"/>
      <c r="Q102" s="60">
        <f>N102-78.3</f>
        <v>-41.09999999999995</v>
      </c>
      <c r="R102" s="138">
        <f>N102/78.3</f>
        <v>0.47509578544061365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41"/>
      <c r="F103" s="171">
        <v>4.74</v>
      </c>
      <c r="G103" s="144"/>
      <c r="H103" s="146"/>
      <c r="I103" s="145"/>
      <c r="J103" s="145"/>
      <c r="K103" s="148"/>
      <c r="L103" s="149"/>
      <c r="M103" s="40">
        <f>E103-листопад!E103</f>
        <v>0</v>
      </c>
      <c r="N103" s="40">
        <f>F103-листопад!F103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f t="shared" si="31"/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6" ref="I104:I111">F104-D104</f>
        <v>-52.22</v>
      </c>
      <c r="J104" s="56">
        <f>F105-D104</f>
        <v>-41.65</v>
      </c>
      <c r="K104" s="56">
        <f>F104-63.9</f>
        <v>-50.62</v>
      </c>
      <c r="L104" s="135">
        <f>F104/63.9</f>
        <v>0.20782472613458527</v>
      </c>
      <c r="M104" s="40">
        <f>E104-листопад!E104</f>
        <v>0</v>
      </c>
      <c r="N104" s="40">
        <f>F104-листопад!F104</f>
        <v>0</v>
      </c>
      <c r="O104" s="53">
        <f aca="true" t="shared" si="37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f t="shared" si="31"/>
        <v>45</v>
      </c>
      <c r="F105" s="169">
        <v>23.85</v>
      </c>
      <c r="G105" s="49">
        <f>F105-E105</f>
        <v>-21.15</v>
      </c>
      <c r="H105" s="40">
        <f>F105/E105*100</f>
        <v>53</v>
      </c>
      <c r="I105" s="56">
        <f t="shared" si="36"/>
        <v>-21.15</v>
      </c>
      <c r="J105" s="56">
        <f aca="true" t="shared" si="38" ref="J105:J110">F105/D105*100</f>
        <v>53</v>
      </c>
      <c r="K105" s="56">
        <f>F105-45.1</f>
        <v>-21.25</v>
      </c>
      <c r="L105" s="135">
        <f>F105/45.1</f>
        <v>0.5288248337028825</v>
      </c>
      <c r="M105" s="40">
        <f>E105-листопад!E105</f>
        <v>14.8</v>
      </c>
      <c r="N105" s="40">
        <f>F105-листопад!F105</f>
        <v>0</v>
      </c>
      <c r="O105" s="53">
        <f t="shared" si="37"/>
        <v>-14.8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f t="shared" si="31"/>
        <v>0</v>
      </c>
      <c r="F106" s="169">
        <v>0.37</v>
      </c>
      <c r="G106" s="49"/>
      <c r="H106" s="40"/>
      <c r="I106" s="56"/>
      <c r="J106" s="56"/>
      <c r="K106" s="56">
        <f>F106-2.6</f>
        <v>-2.23</v>
      </c>
      <c r="L106" s="135">
        <f>F106/2.6</f>
        <v>0.1423076923076923</v>
      </c>
      <c r="M106" s="40">
        <f>E106-листопад!E106</f>
        <v>0</v>
      </c>
      <c r="N106" s="40">
        <f>F106-листопад!F106</f>
        <v>0</v>
      </c>
      <c r="O106" s="53">
        <f t="shared" si="37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506879.6</v>
      </c>
      <c r="F107" s="22">
        <f>F8+F74+F105+F106</f>
        <v>453983.29</v>
      </c>
      <c r="G107" s="175">
        <f>F107-E107</f>
        <v>-52896.31</v>
      </c>
      <c r="H107" s="51">
        <f>F107/E107*100</f>
        <v>89.56432454571066</v>
      </c>
      <c r="I107" s="36">
        <f t="shared" si="36"/>
        <v>-52896.31</v>
      </c>
      <c r="J107" s="36">
        <f t="shared" si="38"/>
        <v>89.56432454571066</v>
      </c>
      <c r="K107" s="36">
        <f>F107-486380.4</f>
        <v>-32397.110000000044</v>
      </c>
      <c r="L107" s="136">
        <f>F107/486380.4</f>
        <v>0.9333914154435499</v>
      </c>
      <c r="M107" s="22">
        <f>M8+M74+M105+M106</f>
        <v>60314.370000000024</v>
      </c>
      <c r="N107" s="152">
        <f>N8+N74+N105+N106</f>
        <v>13339.609999999977</v>
      </c>
      <c r="O107" s="55">
        <f t="shared" si="37"/>
        <v>-46974.760000000046</v>
      </c>
      <c r="P107" s="36">
        <f>N107/M107*100</f>
        <v>22.116802347433907</v>
      </c>
      <c r="Q107" s="36">
        <f>N107-47430.3</f>
        <v>-34090.690000000024</v>
      </c>
      <c r="R107" s="136">
        <f>N107/47430.2</f>
        <v>0.28124718006670807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388213.2</v>
      </c>
      <c r="F108" s="71">
        <f>F10-F18+F96</f>
        <v>361685.54</v>
      </c>
      <c r="G108" s="153">
        <f>G10-G18+G96</f>
        <v>-26527.66000000003</v>
      </c>
      <c r="H108" s="72">
        <f>F108/E108*100</f>
        <v>93.16672900354752</v>
      </c>
      <c r="I108" s="52">
        <f t="shared" si="36"/>
        <v>-26527.660000000033</v>
      </c>
      <c r="J108" s="52">
        <f t="shared" si="38"/>
        <v>93.16672900354752</v>
      </c>
      <c r="K108" s="52">
        <f>F108-373338.7</f>
        <v>-11653.160000000033</v>
      </c>
      <c r="L108" s="137">
        <f>F108/373338.7</f>
        <v>0.9687866272636616</v>
      </c>
      <c r="M108" s="71">
        <f>M10-M18+M96</f>
        <v>35190.70000000001</v>
      </c>
      <c r="N108" s="153">
        <f>N10-N18+N96</f>
        <v>11512.71999999998</v>
      </c>
      <c r="O108" s="53">
        <f t="shared" si="37"/>
        <v>-23677.980000000032</v>
      </c>
      <c r="P108" s="52">
        <f>N108/M108*100</f>
        <v>32.71523442273094</v>
      </c>
      <c r="Q108" s="52">
        <f>N108-37899.5</f>
        <v>-26386.78000000002</v>
      </c>
      <c r="R108" s="137">
        <f>N108/37899.5</f>
        <v>0.3037697067243626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118666.39999999997</v>
      </c>
      <c r="F109" s="71">
        <f>F107-F108</f>
        <v>92297.75</v>
      </c>
      <c r="G109" s="176">
        <f>F109-E109</f>
        <v>-26368.649999999965</v>
      </c>
      <c r="H109" s="72">
        <f>F109/E109*100</f>
        <v>77.77917759365754</v>
      </c>
      <c r="I109" s="52">
        <f t="shared" si="36"/>
        <v>-26368.649999999965</v>
      </c>
      <c r="J109" s="52">
        <f t="shared" si="38"/>
        <v>77.77917759365754</v>
      </c>
      <c r="K109" s="52">
        <f>F109-113041.7</f>
        <v>-20743.949999999997</v>
      </c>
      <c r="L109" s="137">
        <f>F109/113041.7</f>
        <v>0.8164929402158673</v>
      </c>
      <c r="M109" s="71">
        <f>M107-M108</f>
        <v>25123.670000000013</v>
      </c>
      <c r="N109" s="153">
        <f>N107-N108</f>
        <v>1826.8899999999976</v>
      </c>
      <c r="O109" s="53">
        <f t="shared" si="37"/>
        <v>-23296.780000000013</v>
      </c>
      <c r="P109" s="52">
        <f>N109/M109*100</f>
        <v>7.271588904009632</v>
      </c>
      <c r="Q109" s="52">
        <f>N109-9530.7</f>
        <v>-7703.810000000003</v>
      </c>
      <c r="R109" s="137">
        <f>N109/9530.7</f>
        <v>0.19168476607174684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f>D110</f>
        <v>388213.2</v>
      </c>
      <c r="F110" s="71">
        <f>F108</f>
        <v>361685.54</v>
      </c>
      <c r="G110" s="111">
        <f>F110-E110</f>
        <v>-26527.660000000033</v>
      </c>
      <c r="H110" s="72">
        <f>F110/E110*100</f>
        <v>93.16672900354752</v>
      </c>
      <c r="I110" s="81">
        <f t="shared" si="36"/>
        <v>-26527.660000000033</v>
      </c>
      <c r="J110" s="52">
        <f t="shared" si="38"/>
        <v>93.16672900354752</v>
      </c>
      <c r="K110" s="52"/>
      <c r="L110" s="137"/>
      <c r="M110" s="72">
        <f>E110-листопад!E110</f>
        <v>39530.600000000035</v>
      </c>
      <c r="N110" s="71">
        <f>N108</f>
        <v>11512.71999999998</v>
      </c>
      <c r="O110" s="63">
        <f t="shared" si="37"/>
        <v>-28017.880000000056</v>
      </c>
      <c r="P110" s="52">
        <f>N110/M110*100</f>
        <v>29.123565035693787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6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307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f>D114</f>
        <v>0</v>
      </c>
      <c r="F114" s="172">
        <v>0.55</v>
      </c>
      <c r="G114" s="49">
        <f aca="true" t="shared" si="39" ref="G114:G126">F114-E114</f>
        <v>0.55</v>
      </c>
      <c r="H114" s="40"/>
      <c r="I114" s="60">
        <f aca="true" t="shared" si="40" ref="I114:I125">F114-D114</f>
        <v>0.55</v>
      </c>
      <c r="J114" s="60"/>
      <c r="K114" s="60">
        <f>F114-24.2</f>
        <v>-23.65</v>
      </c>
      <c r="L114" s="138">
        <f>F114/24.2</f>
        <v>0.02272727272727273</v>
      </c>
      <c r="M114" s="40">
        <f>E114-листопад!E114</f>
        <v>0</v>
      </c>
      <c r="N114" s="40">
        <f>F114-листопад!F114</f>
        <v>0</v>
      </c>
      <c r="O114" s="53"/>
      <c r="P114" s="60"/>
      <c r="Q114" s="60">
        <f>N114-3.5</f>
        <v>-3.5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f>D115</f>
        <v>3671.5</v>
      </c>
      <c r="F115" s="174">
        <v>1549.46</v>
      </c>
      <c r="G115" s="49">
        <f t="shared" si="39"/>
        <v>-2122.04</v>
      </c>
      <c r="H115" s="40">
        <f aca="true" t="shared" si="41" ref="H115:H126">F115/E115*100</f>
        <v>42.20236960370421</v>
      </c>
      <c r="I115" s="60">
        <f t="shared" si="40"/>
        <v>-2122.04</v>
      </c>
      <c r="J115" s="60">
        <f aca="true" t="shared" si="42" ref="J115:J121">F115/D115*100</f>
        <v>42.20236960370421</v>
      </c>
      <c r="K115" s="60">
        <f>F115-3298.2</f>
        <v>-1748.7399999999998</v>
      </c>
      <c r="L115" s="138">
        <f>F115/3298.2</f>
        <v>0.4697895821963496</v>
      </c>
      <c r="M115" s="40">
        <f>E115-листопад!E115</f>
        <v>337.0999999999999</v>
      </c>
      <c r="N115" s="40">
        <f>F115-листопад!F115</f>
        <v>64.65000000000009</v>
      </c>
      <c r="O115" s="53">
        <f aca="true" t="shared" si="43" ref="O115:O126">N115-M115</f>
        <v>-272.4499999999998</v>
      </c>
      <c r="P115" s="60">
        <f>N115/M115*100</f>
        <v>19.1782853752596</v>
      </c>
      <c r="Q115" s="60">
        <f>N115-86.8</f>
        <v>-22.149999999999906</v>
      </c>
      <c r="R115" s="138">
        <f>N115/86.8</f>
        <v>0.744815668202766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f>D116</f>
        <v>268.1</v>
      </c>
      <c r="F116" s="172">
        <v>301.75</v>
      </c>
      <c r="G116" s="49">
        <f t="shared" si="39"/>
        <v>33.64999999999998</v>
      </c>
      <c r="H116" s="40">
        <f t="shared" si="41"/>
        <v>112.55128683327116</v>
      </c>
      <c r="I116" s="60">
        <f t="shared" si="40"/>
        <v>33.64999999999998</v>
      </c>
      <c r="J116" s="60">
        <f t="shared" si="42"/>
        <v>112.55128683327116</v>
      </c>
      <c r="K116" s="60">
        <f>F116-246.9</f>
        <v>54.849999999999994</v>
      </c>
      <c r="L116" s="138">
        <f>F116/246.9</f>
        <v>1.222154718509518</v>
      </c>
      <c r="M116" s="40">
        <f>E116-листопад!E116</f>
        <v>23.600000000000023</v>
      </c>
      <c r="N116" s="40">
        <f>F116-листопад!F116</f>
        <v>16.939999999999998</v>
      </c>
      <c r="O116" s="53">
        <f t="shared" si="43"/>
        <v>-6.660000000000025</v>
      </c>
      <c r="P116" s="60">
        <f>N116/M116*100</f>
        <v>71.77966101694906</v>
      </c>
      <c r="Q116" s="60">
        <f>N116-31.3</f>
        <v>-14.360000000000003</v>
      </c>
      <c r="R116" s="138">
        <f>N116/31.3</f>
        <v>0.5412140575079871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3939.6</v>
      </c>
      <c r="F117" s="173">
        <f>SUM(F114:F116)</f>
        <v>1851.76</v>
      </c>
      <c r="G117" s="62">
        <f t="shared" si="39"/>
        <v>-2087.84</v>
      </c>
      <c r="H117" s="72">
        <f t="shared" si="41"/>
        <v>47.003756726571225</v>
      </c>
      <c r="I117" s="61">
        <f t="shared" si="40"/>
        <v>-2087.84</v>
      </c>
      <c r="J117" s="61">
        <f t="shared" si="42"/>
        <v>47.003756726571225</v>
      </c>
      <c r="K117" s="61">
        <f>F117-3599.2</f>
        <v>-1747.4399999999998</v>
      </c>
      <c r="L117" s="139">
        <f>F117/3599.2</f>
        <v>0.514492109357635</v>
      </c>
      <c r="M117" s="62">
        <f>M115+M116+M114</f>
        <v>360.69999999999993</v>
      </c>
      <c r="N117" s="38">
        <f>SUM(N114:N116)</f>
        <v>81.59000000000009</v>
      </c>
      <c r="O117" s="61">
        <f t="shared" si="43"/>
        <v>-279.10999999999984</v>
      </c>
      <c r="P117" s="61">
        <f>N117/M117*100</f>
        <v>22.61990573884117</v>
      </c>
      <c r="Q117" s="61">
        <f>N117-121.6</f>
        <v>-40.009999999999906</v>
      </c>
      <c r="R117" s="139">
        <f>N117/121.6</f>
        <v>0.6709703947368428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9"/>
        <v>0</v>
      </c>
      <c r="H118" s="40" t="e">
        <f t="shared" si="41"/>
        <v>#DIV/0!</v>
      </c>
      <c r="I118" s="60">
        <f t="shared" si="40"/>
        <v>0</v>
      </c>
      <c r="J118" s="60" t="e">
        <f t="shared" si="42"/>
        <v>#DIV/0!</v>
      </c>
      <c r="K118" s="60"/>
      <c r="L118" s="138"/>
      <c r="M118" s="41">
        <v>0</v>
      </c>
      <c r="N118" s="41">
        <f>F118</f>
        <v>0</v>
      </c>
      <c r="O118" s="53">
        <f t="shared" si="43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f>D119</f>
        <v>267.2</v>
      </c>
      <c r="F119" s="174">
        <v>456.86</v>
      </c>
      <c r="G119" s="49">
        <f t="shared" si="39"/>
        <v>189.66000000000003</v>
      </c>
      <c r="H119" s="40">
        <f t="shared" si="41"/>
        <v>170.9805389221557</v>
      </c>
      <c r="I119" s="60">
        <f t="shared" si="40"/>
        <v>189.66000000000003</v>
      </c>
      <c r="J119" s="60">
        <f t="shared" si="42"/>
        <v>170.9805389221557</v>
      </c>
      <c r="K119" s="60">
        <f>F119-240.3</f>
        <v>216.56</v>
      </c>
      <c r="L119" s="138">
        <f>F119/240.3</f>
        <v>1.9012068248023304</v>
      </c>
      <c r="M119" s="40">
        <f>E119-листопад!E119</f>
        <v>6.699999999999989</v>
      </c>
      <c r="N119" s="40">
        <f>F119-листопад!F119</f>
        <v>2.1899999999999977</v>
      </c>
      <c r="O119" s="53">
        <f>N119-M119</f>
        <v>-4.509999999999991</v>
      </c>
      <c r="P119" s="60">
        <f>N119/M119*100</f>
        <v>32.686567164179124</v>
      </c>
      <c r="Q119" s="60">
        <f>N119-2.6</f>
        <v>-0.41000000000000236</v>
      </c>
      <c r="R119" s="138">
        <f>N119/2.6</f>
        <v>0.8423076923076914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f>D120</f>
        <v>71975.99</v>
      </c>
      <c r="F120" s="174">
        <v>80630.83</v>
      </c>
      <c r="G120" s="49">
        <f t="shared" si="39"/>
        <v>8654.839999999997</v>
      </c>
      <c r="H120" s="40">
        <f t="shared" si="41"/>
        <v>112.02462098819342</v>
      </c>
      <c r="I120" s="53">
        <f t="shared" si="40"/>
        <v>8654.839999999997</v>
      </c>
      <c r="J120" s="60">
        <f t="shared" si="42"/>
        <v>112.02462098819342</v>
      </c>
      <c r="K120" s="60">
        <f>F120-69925</f>
        <v>10705.830000000002</v>
      </c>
      <c r="L120" s="138">
        <f>F120/69925</f>
        <v>1.153104469074008</v>
      </c>
      <c r="M120" s="40">
        <f>E120-листопад!E120</f>
        <v>3263.3899999999994</v>
      </c>
      <c r="N120" s="40">
        <f>F120-листопад!F120</f>
        <v>1313.0299999999988</v>
      </c>
      <c r="O120" s="53">
        <f t="shared" si="43"/>
        <v>-1950.3600000000006</v>
      </c>
      <c r="P120" s="60">
        <f aca="true" t="shared" si="44" ref="P120:P125">N120/M120*100</f>
        <v>40.23515424144828</v>
      </c>
      <c r="Q120" s="60">
        <f>N120-3130.1</f>
        <v>-1817.070000000001</v>
      </c>
      <c r="R120" s="138">
        <f>N120/3130.1</f>
        <v>0.41948500047921755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f>D121</f>
        <v>4750</v>
      </c>
      <c r="F121" s="174">
        <v>1921.64</v>
      </c>
      <c r="G121" s="49">
        <f t="shared" si="39"/>
        <v>-2828.3599999999997</v>
      </c>
      <c r="H121" s="40">
        <f t="shared" si="41"/>
        <v>40.45557894736842</v>
      </c>
      <c r="I121" s="60">
        <f t="shared" si="40"/>
        <v>-2828.3599999999997</v>
      </c>
      <c r="J121" s="60">
        <f t="shared" si="42"/>
        <v>40.45557894736842</v>
      </c>
      <c r="K121" s="60">
        <f>F121-1790.1</f>
        <v>131.5400000000002</v>
      </c>
      <c r="L121" s="138">
        <f>F121/1790.1</f>
        <v>1.0734819283838892</v>
      </c>
      <c r="M121" s="40">
        <f>E121-листопад!E121</f>
        <v>1388.81</v>
      </c>
      <c r="N121" s="40">
        <f>F121-листопад!F121</f>
        <v>0.03000000000020009</v>
      </c>
      <c r="O121" s="53">
        <f t="shared" si="43"/>
        <v>-1388.7799999999997</v>
      </c>
      <c r="P121" s="60">
        <f t="shared" si="44"/>
        <v>0.0021601226949834814</v>
      </c>
      <c r="Q121" s="60">
        <f>N121-0.1</f>
        <v>-0.06999999999979992</v>
      </c>
      <c r="R121" s="138">
        <f>N121/0.1</f>
        <v>0.3000000000020009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D122</f>
        <v>23077.13</v>
      </c>
      <c r="F122" s="174">
        <v>3828.89</v>
      </c>
      <c r="G122" s="49">
        <f t="shared" si="39"/>
        <v>-19248.24</v>
      </c>
      <c r="H122" s="40">
        <f t="shared" si="41"/>
        <v>16.591707894352545</v>
      </c>
      <c r="I122" s="60">
        <f t="shared" si="40"/>
        <v>-19248.24</v>
      </c>
      <c r="J122" s="60">
        <f>F122/D122*100</f>
        <v>16.591707894352545</v>
      </c>
      <c r="K122" s="60">
        <f>F122-29972.9</f>
        <v>-26144.010000000002</v>
      </c>
      <c r="L122" s="138">
        <f>F122/29972.9</f>
        <v>0.12774506304027972</v>
      </c>
      <c r="M122" s="40">
        <f>E122-листопад!E122</f>
        <v>2767.4000000000015</v>
      </c>
      <c r="N122" s="40">
        <f>F122-листопад!F122</f>
        <v>0</v>
      </c>
      <c r="O122" s="53">
        <f t="shared" si="43"/>
        <v>-2767.4000000000015</v>
      </c>
      <c r="P122" s="60">
        <f t="shared" si="44"/>
        <v>0</v>
      </c>
      <c r="Q122" s="60">
        <f>N122-6480.9</f>
        <v>-6480.9</v>
      </c>
      <c r="R122" s="138">
        <f>N122/6480.9</f>
        <v>0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f>D123</f>
        <v>2000</v>
      </c>
      <c r="F123" s="174">
        <v>2014.29</v>
      </c>
      <c r="G123" s="49">
        <f t="shared" si="39"/>
        <v>14.289999999999964</v>
      </c>
      <c r="H123" s="40">
        <f t="shared" si="41"/>
        <v>100.7145</v>
      </c>
      <c r="I123" s="60">
        <f t="shared" si="40"/>
        <v>14.289999999999964</v>
      </c>
      <c r="J123" s="60">
        <f>F123/D123*100</f>
        <v>100.7145</v>
      </c>
      <c r="K123" s="60">
        <f>F123-2200.3</f>
        <v>-186.01000000000022</v>
      </c>
      <c r="L123" s="138">
        <f>F123/2200.3</f>
        <v>0.915461527973458</v>
      </c>
      <c r="M123" s="40">
        <f>E123-листопад!E123</f>
        <v>189.5999999999999</v>
      </c>
      <c r="N123" s="40">
        <f>F123-листопад!F123</f>
        <v>1.740000000000009</v>
      </c>
      <c r="O123" s="53">
        <f t="shared" si="43"/>
        <v>-187.8599999999999</v>
      </c>
      <c r="P123" s="60">
        <f t="shared" si="44"/>
        <v>0.917721518987347</v>
      </c>
      <c r="Q123" s="60">
        <f>N123-468.3</f>
        <v>-466.56</v>
      </c>
      <c r="R123" s="138">
        <f>N123/468.3</f>
        <v>0.0037155669442665152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102070.32</v>
      </c>
      <c r="F124" s="173">
        <f>F120+F121+F122+F123+F119</f>
        <v>88852.51</v>
      </c>
      <c r="G124" s="62">
        <f t="shared" si="39"/>
        <v>-13217.810000000012</v>
      </c>
      <c r="H124" s="72">
        <f t="shared" si="41"/>
        <v>87.05029042722701</v>
      </c>
      <c r="I124" s="61">
        <f t="shared" si="40"/>
        <v>-13217.810000000012</v>
      </c>
      <c r="J124" s="61">
        <f>F124/D124*100</f>
        <v>87.05029042722701</v>
      </c>
      <c r="K124" s="61">
        <f>F124-104128.6</f>
        <v>-15276.090000000011</v>
      </c>
      <c r="L124" s="139">
        <f>F124/104128.6</f>
        <v>0.8532959244626356</v>
      </c>
      <c r="M124" s="62">
        <f>M120+M121+M122+M123+M119</f>
        <v>7615.900000000001</v>
      </c>
      <c r="N124" s="62">
        <f>N120+N121+N122+N123+N119</f>
        <v>1316.989999999999</v>
      </c>
      <c r="O124" s="61">
        <f t="shared" si="43"/>
        <v>-6298.910000000002</v>
      </c>
      <c r="P124" s="61">
        <f t="shared" si="44"/>
        <v>17.292637770979123</v>
      </c>
      <c r="Q124" s="61">
        <f>N124-10082.1</f>
        <v>-8765.11</v>
      </c>
      <c r="R124" s="139">
        <f>N124/1082.1</f>
        <v>1.217068662785324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f>D125</f>
        <v>43.5</v>
      </c>
      <c r="F125" s="174">
        <v>35.22</v>
      </c>
      <c r="G125" s="49">
        <f t="shared" si="39"/>
        <v>-8.280000000000001</v>
      </c>
      <c r="H125" s="40">
        <f t="shared" si="41"/>
        <v>80.9655172413793</v>
      </c>
      <c r="I125" s="60">
        <f t="shared" si="40"/>
        <v>-8.280000000000001</v>
      </c>
      <c r="J125" s="60">
        <f>F125/D125*100</f>
        <v>80.9655172413793</v>
      </c>
      <c r="K125" s="60">
        <f>F125-114.2</f>
        <v>-78.98</v>
      </c>
      <c r="L125" s="138">
        <f>F125/114.2</f>
        <v>0.3084063047285464</v>
      </c>
      <c r="M125" s="40">
        <f>E125-листопад!E125</f>
        <v>8.340000000000003</v>
      </c>
      <c r="N125" s="40">
        <f>F125-листопад!F125</f>
        <v>0.21000000000000085</v>
      </c>
      <c r="O125" s="53">
        <f t="shared" si="43"/>
        <v>-8.130000000000003</v>
      </c>
      <c r="P125" s="60">
        <f t="shared" si="44"/>
        <v>2.5179856115108006</v>
      </c>
      <c r="Q125" s="60">
        <f>N125-0</f>
        <v>0.21000000000000085</v>
      </c>
      <c r="R125" s="138"/>
    </row>
    <row r="126" spans="2:18" ht="15.75" hidden="1">
      <c r="B126" s="42"/>
      <c r="C126" s="109">
        <v>24062100</v>
      </c>
      <c r="D126" s="33">
        <v>0</v>
      </c>
      <c r="E126" s="33">
        <f>D126</f>
        <v>0</v>
      </c>
      <c r="F126" s="174">
        <v>0</v>
      </c>
      <c r="G126" s="49">
        <f t="shared" si="39"/>
        <v>0</v>
      </c>
      <c r="H126" s="40" t="e">
        <f t="shared" si="41"/>
        <v>#DIV/0!</v>
      </c>
      <c r="I126" s="63"/>
      <c r="J126" s="63"/>
      <c r="K126" s="63"/>
      <c r="L126" s="138">
        <f>F126</f>
        <v>0</v>
      </c>
      <c r="M126" s="40">
        <f>E126-листопад!E126</f>
        <v>0</v>
      </c>
      <c r="N126" s="40">
        <f>F126-листопад!F126</f>
        <v>0</v>
      </c>
      <c r="O126" s="53">
        <f t="shared" si="43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f>D127</f>
        <v>7.2</v>
      </c>
      <c r="F127" s="174">
        <v>19.48</v>
      </c>
      <c r="G127" s="49"/>
      <c r="H127" s="40"/>
      <c r="I127" s="63"/>
      <c r="J127" s="63"/>
      <c r="K127" s="53">
        <f>F127-17.9</f>
        <v>1.5800000000000018</v>
      </c>
      <c r="L127" s="138">
        <f>F127/17.9</f>
        <v>1.088268156424581</v>
      </c>
      <c r="M127" s="40">
        <f>E127-листопад!E127</f>
        <v>0</v>
      </c>
      <c r="N127" s="40">
        <f>F127-листопад!F127</f>
        <v>0</v>
      </c>
      <c r="O127" s="53"/>
      <c r="P127" s="63"/>
      <c r="Q127" s="53">
        <f>N127-0</f>
        <v>0</v>
      </c>
      <c r="R127" s="162"/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f>D128</f>
        <v>8700</v>
      </c>
      <c r="F128" s="174">
        <v>8714.07</v>
      </c>
      <c r="G128" s="49">
        <f aca="true" t="shared" si="45" ref="G128:G135">F128-E128</f>
        <v>14.069999999999709</v>
      </c>
      <c r="H128" s="40">
        <f>F128/E128*100</f>
        <v>100.16172413793103</v>
      </c>
      <c r="I128" s="60">
        <f aca="true" t="shared" si="46" ref="I128:I135">F128-D128</f>
        <v>14.069999999999709</v>
      </c>
      <c r="J128" s="60">
        <f>F128/D128*100</f>
        <v>100.16172413793103</v>
      </c>
      <c r="K128" s="60">
        <f>F128-10836.2</f>
        <v>-2122.130000000001</v>
      </c>
      <c r="L128" s="138">
        <f>F128/10836.2</f>
        <v>0.8041628984330299</v>
      </c>
      <c r="M128" s="40">
        <f>E128-листопад!E128</f>
        <v>1</v>
      </c>
      <c r="N128" s="40">
        <f>F128-листопад!F128</f>
        <v>355.2999999999993</v>
      </c>
      <c r="O128" s="53">
        <f aca="true" t="shared" si="47" ref="O128:O135">N128-M128</f>
        <v>354.2999999999993</v>
      </c>
      <c r="P128" s="60">
        <f>N128/M128*100</f>
        <v>35529.99999999993</v>
      </c>
      <c r="Q128" s="60">
        <f>N128-9.9</f>
        <v>345.3999999999993</v>
      </c>
      <c r="R128" s="162"/>
    </row>
    <row r="129" spans="2:18" ht="31.5">
      <c r="B129" s="30" t="s">
        <v>140</v>
      </c>
      <c r="C129" s="106">
        <v>19050000</v>
      </c>
      <c r="D129" s="33">
        <v>0</v>
      </c>
      <c r="E129" s="33">
        <f>D129</f>
        <v>0</v>
      </c>
      <c r="F129" s="174">
        <v>1.47</v>
      </c>
      <c r="G129" s="49">
        <f t="shared" si="45"/>
        <v>1.47</v>
      </c>
      <c r="H129" s="40"/>
      <c r="I129" s="60">
        <f t="shared" si="46"/>
        <v>1.47</v>
      </c>
      <c r="J129" s="60"/>
      <c r="K129" s="60">
        <f>F129-0.6</f>
        <v>0.87</v>
      </c>
      <c r="L129" s="138">
        <f>F129/0.6</f>
        <v>2.45</v>
      </c>
      <c r="M129" s="40">
        <f>E129-листопад!E129</f>
        <v>0</v>
      </c>
      <c r="N129" s="40">
        <f>F129-листопад!F129</f>
        <v>0</v>
      </c>
      <c r="O129" s="53">
        <f t="shared" si="47"/>
        <v>0</v>
      </c>
      <c r="P129" s="60"/>
      <c r="Q129" s="60">
        <f>N129-(-0.1)</f>
        <v>0.1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8750.7</v>
      </c>
      <c r="F130" s="173">
        <f>F128+F125+F129+F127</f>
        <v>8770.239999999998</v>
      </c>
      <c r="G130" s="62">
        <f t="shared" si="45"/>
        <v>19.539999999997235</v>
      </c>
      <c r="H130" s="72">
        <f>F130/E130*100</f>
        <v>100.2232964220005</v>
      </c>
      <c r="I130" s="61">
        <f t="shared" si="46"/>
        <v>19.539999999997235</v>
      </c>
      <c r="J130" s="61">
        <f>F130/D130*100</f>
        <v>100.2232964220005</v>
      </c>
      <c r="K130" s="61">
        <f>F130-10968.9</f>
        <v>-2198.6600000000017</v>
      </c>
      <c r="L130" s="139">
        <f>G130/10968.9</f>
        <v>0.0017814001403966885</v>
      </c>
      <c r="M130" s="62">
        <f>M125+M128+M129+M127</f>
        <v>9.340000000000003</v>
      </c>
      <c r="N130" s="62">
        <f>N125+N128+N129+N127</f>
        <v>355.50999999999925</v>
      </c>
      <c r="O130" s="61">
        <f t="shared" si="47"/>
        <v>346.1699999999993</v>
      </c>
      <c r="P130" s="61">
        <f>N130/M130*100</f>
        <v>3806.3169164882133</v>
      </c>
      <c r="Q130" s="61">
        <f>N130-9.7</f>
        <v>345.80999999999926</v>
      </c>
      <c r="R130" s="137"/>
    </row>
    <row r="131" spans="2:18" ht="31.5">
      <c r="B131" s="14" t="s">
        <v>125</v>
      </c>
      <c r="C131" s="66">
        <v>24110900</v>
      </c>
      <c r="D131" s="33">
        <v>30</v>
      </c>
      <c r="E131" s="33">
        <f>D131</f>
        <v>30</v>
      </c>
      <c r="F131" s="174">
        <v>34.48</v>
      </c>
      <c r="G131" s="49">
        <f>F131-E131</f>
        <v>4.479999999999997</v>
      </c>
      <c r="H131" s="40">
        <f>F131/E131*100</f>
        <v>114.93333333333334</v>
      </c>
      <c r="I131" s="60">
        <f>F131-D131</f>
        <v>4.479999999999997</v>
      </c>
      <c r="J131" s="60">
        <f>F131/D131*100</f>
        <v>114.93333333333334</v>
      </c>
      <c r="K131" s="60">
        <f>F131-38.4</f>
        <v>-3.9200000000000017</v>
      </c>
      <c r="L131" s="138">
        <f>F131/38.4</f>
        <v>0.8979166666666666</v>
      </c>
      <c r="M131" s="40">
        <f>E131-листопад!E131</f>
        <v>5.75</v>
      </c>
      <c r="N131" s="40">
        <f>F131-листопад!F131</f>
        <v>0.4299999999999997</v>
      </c>
      <c r="O131" s="53">
        <f>N131-M131</f>
        <v>-5.32</v>
      </c>
      <c r="P131" s="60">
        <f>N131/M131*100</f>
        <v>7.4782608695652115</v>
      </c>
      <c r="Q131" s="60">
        <f>N131-10.2</f>
        <v>-9.77</v>
      </c>
      <c r="R131" s="138">
        <f>N131/10.2</f>
        <v>0.042156862745098014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f>D132</f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E132-листопад!E132</f>
        <v>0</v>
      </c>
      <c r="N132" s="40">
        <f>F132-листопад!F132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f>D133</f>
        <v>0</v>
      </c>
      <c r="F133" s="174">
        <v>0</v>
      </c>
      <c r="G133" s="49">
        <f t="shared" si="45"/>
        <v>0</v>
      </c>
      <c r="H133" s="40" t="e">
        <f>F133/E133*100</f>
        <v>#DIV/0!</v>
      </c>
      <c r="I133" s="60">
        <f t="shared" si="46"/>
        <v>0</v>
      </c>
      <c r="J133" s="60" t="e">
        <f>F133/D133*100</f>
        <v>#DIV/0!</v>
      </c>
      <c r="K133" s="60"/>
      <c r="L133" s="138"/>
      <c r="M133" s="40">
        <f>E133-листопад!E133</f>
        <v>0</v>
      </c>
      <c r="N133" s="40">
        <f>F133-листопад!F133</f>
        <v>0</v>
      </c>
      <c r="O133" s="53">
        <f t="shared" si="47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114790.62000000001</v>
      </c>
      <c r="F134" s="31">
        <f>F117+F131+F124+F130+F133+F132</f>
        <v>99508.98999999999</v>
      </c>
      <c r="G134" s="50">
        <f t="shared" si="45"/>
        <v>-15281.63000000002</v>
      </c>
      <c r="H134" s="51">
        <f>F134/E134*100</f>
        <v>86.68738787193587</v>
      </c>
      <c r="I134" s="36">
        <f t="shared" si="46"/>
        <v>-15281.63000000002</v>
      </c>
      <c r="J134" s="36">
        <f>F134/D134*100</f>
        <v>86.68738787193587</v>
      </c>
      <c r="K134" s="36">
        <f>F134-118735.2</f>
        <v>-19226.210000000006</v>
      </c>
      <c r="L134" s="136">
        <f>F134/118735.2</f>
        <v>0.8380748927024168</v>
      </c>
      <c r="M134" s="31">
        <f>M117+M131+M124+M130+M133+M132</f>
        <v>7991.6900000000005</v>
      </c>
      <c r="N134" s="31">
        <f>N117+N131+N124+N130+N133+N132</f>
        <v>1754.5199999999986</v>
      </c>
      <c r="O134" s="36">
        <f t="shared" si="47"/>
        <v>-6237.170000000002</v>
      </c>
      <c r="P134" s="36">
        <f>N134/M134*100</f>
        <v>21.95430503435442</v>
      </c>
      <c r="Q134" s="36">
        <f>N134-10223.7</f>
        <v>-8469.180000000002</v>
      </c>
      <c r="R134" s="136">
        <f>N134/10223.7</f>
        <v>0.1716130168138735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621670.22</v>
      </c>
      <c r="F135" s="31">
        <f>F107+F134</f>
        <v>553492.28</v>
      </c>
      <c r="G135" s="50">
        <f t="shared" si="45"/>
        <v>-68177.93999999994</v>
      </c>
      <c r="H135" s="51">
        <f>F135/E135*100</f>
        <v>89.03310182688179</v>
      </c>
      <c r="I135" s="36">
        <f t="shared" si="46"/>
        <v>-68177.93999999994</v>
      </c>
      <c r="J135" s="36">
        <f>F135/D135*100</f>
        <v>89.03310182688179</v>
      </c>
      <c r="K135" s="36">
        <f>F135-605115.5</f>
        <v>-51623.21999999997</v>
      </c>
      <c r="L135" s="136">
        <f>F135/605115.5</f>
        <v>0.9146886503485698</v>
      </c>
      <c r="M135" s="22">
        <f>M107+M134</f>
        <v>68306.06000000003</v>
      </c>
      <c r="N135" s="22">
        <f>N107+N134</f>
        <v>15094.129999999976</v>
      </c>
      <c r="O135" s="36">
        <f t="shared" si="47"/>
        <v>-53211.93000000005</v>
      </c>
      <c r="P135" s="36">
        <f>N135/M135*100</f>
        <v>22.0977904449473</v>
      </c>
      <c r="Q135" s="36">
        <f>N135-57653.9</f>
        <v>-42559.770000000026</v>
      </c>
      <c r="R135" s="136">
        <f>N135/57653.9</f>
        <v>0.261805879567557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15</v>
      </c>
      <c r="D137" s="4" t="s">
        <v>118</v>
      </c>
    </row>
    <row r="138" spans="2:17" ht="31.5">
      <c r="B138" s="78" t="s">
        <v>154</v>
      </c>
      <c r="C138" s="39">
        <f>IF(O107&lt;0,ABS(O107/C137),0)</f>
        <v>3131.6506666666696</v>
      </c>
      <c r="D138" s="4" t="s">
        <v>104</v>
      </c>
      <c r="G138" s="210"/>
      <c r="H138" s="210"/>
      <c r="I138" s="210"/>
      <c r="J138" s="210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41983</v>
      </c>
      <c r="D139" s="39">
        <v>726.4</v>
      </c>
      <c r="N139" s="211"/>
      <c r="O139" s="211"/>
    </row>
    <row r="140" spans="3:15" ht="15.75">
      <c r="C140" s="120">
        <v>41982</v>
      </c>
      <c r="D140" s="39">
        <v>970.6</v>
      </c>
      <c r="F140" s="4" t="s">
        <v>166</v>
      </c>
      <c r="G140" s="179" t="s">
        <v>151</v>
      </c>
      <c r="H140" s="179"/>
      <c r="I140" s="115">
        <v>8909.73221</v>
      </c>
      <c r="J140" s="180" t="s">
        <v>161</v>
      </c>
      <c r="K140" s="180"/>
      <c r="L140" s="180"/>
      <c r="M140" s="180"/>
      <c r="N140" s="211"/>
      <c r="O140" s="211"/>
    </row>
    <row r="141" spans="3:15" ht="15.75">
      <c r="C141" s="120">
        <v>41981</v>
      </c>
      <c r="D141" s="39">
        <v>813.1</v>
      </c>
      <c r="G141" s="212" t="s">
        <v>155</v>
      </c>
      <c r="H141" s="212"/>
      <c r="I141" s="112">
        <v>0</v>
      </c>
      <c r="J141" s="213" t="s">
        <v>162</v>
      </c>
      <c r="K141" s="213"/>
      <c r="L141" s="213"/>
      <c r="M141" s="213"/>
      <c r="N141" s="211"/>
      <c r="O141" s="211"/>
    </row>
    <row r="142" spans="7:13" ht="15.75" customHeight="1">
      <c r="G142" s="179" t="s">
        <v>148</v>
      </c>
      <c r="H142" s="179"/>
      <c r="I142" s="112">
        <v>0</v>
      </c>
      <c r="J142" s="180" t="s">
        <v>163</v>
      </c>
      <c r="K142" s="180"/>
      <c r="L142" s="180"/>
      <c r="M142" s="180"/>
    </row>
    <row r="143" spans="2:13" ht="18.75" customHeight="1">
      <c r="B143" s="214" t="s">
        <v>160</v>
      </c>
      <c r="C143" s="215"/>
      <c r="D143" s="117">
        <v>117836.95846</v>
      </c>
      <c r="E143" s="80"/>
      <c r="F143" s="100" t="s">
        <v>147</v>
      </c>
      <c r="G143" s="179" t="s">
        <v>149</v>
      </c>
      <c r="H143" s="179"/>
      <c r="I143" s="116">
        <v>108927.22625</v>
      </c>
      <c r="J143" s="180" t="s">
        <v>164</v>
      </c>
      <c r="K143" s="180"/>
      <c r="L143" s="180"/>
      <c r="M143" s="180"/>
    </row>
    <row r="144" spans="7:12" ht="9.75" customHeight="1">
      <c r="G144" s="216"/>
      <c r="H144" s="216"/>
      <c r="I144" s="98"/>
      <c r="J144" s="99"/>
      <c r="K144" s="99"/>
      <c r="L144" s="99"/>
    </row>
    <row r="145" spans="2:12" ht="22.5" customHeight="1">
      <c r="B145" s="217" t="s">
        <v>308</v>
      </c>
      <c r="C145" s="218"/>
      <c r="D145" s="119">
        <v>0</v>
      </c>
      <c r="E145" s="77"/>
      <c r="G145" s="216"/>
      <c r="H145" s="216"/>
      <c r="I145" s="98"/>
      <c r="J145" s="99"/>
      <c r="K145" s="99"/>
      <c r="L145" s="99"/>
    </row>
    <row r="146" spans="4:15" ht="15.75">
      <c r="D146" s="114"/>
      <c r="N146" s="216"/>
      <c r="O146" s="216"/>
    </row>
    <row r="147" spans="4:15" ht="15.75">
      <c r="D147" s="113"/>
      <c r="I147" s="39"/>
      <c r="N147" s="219"/>
      <c r="O147" s="219"/>
    </row>
    <row r="148" spans="14:15" ht="15.75">
      <c r="N148" s="216"/>
      <c r="O148" s="216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3" right="0.2" top="0.18" bottom="0.38" header="0.17" footer="0.29"/>
  <pageSetup fitToHeight="1" fitToWidth="1"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3" t="s">
        <v>212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208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210</v>
      </c>
      <c r="N3" s="195" t="s">
        <v>198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207</v>
      </c>
      <c r="H4" s="200" t="s">
        <v>195</v>
      </c>
      <c r="I4" s="202" t="s">
        <v>188</v>
      </c>
      <c r="J4" s="204" t="s">
        <v>189</v>
      </c>
      <c r="K4" s="206" t="s">
        <v>196</v>
      </c>
      <c r="L4" s="207"/>
      <c r="M4" s="194"/>
      <c r="N4" s="181" t="s">
        <v>213</v>
      </c>
      <c r="O4" s="202" t="s">
        <v>136</v>
      </c>
      <c r="P4" s="202" t="s">
        <v>135</v>
      </c>
      <c r="Q4" s="206" t="s">
        <v>197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214</v>
      </c>
      <c r="F5" s="197"/>
      <c r="G5" s="199"/>
      <c r="H5" s="201"/>
      <c r="I5" s="203"/>
      <c r="J5" s="205"/>
      <c r="K5" s="208"/>
      <c r="L5" s="209"/>
      <c r="M5" s="151" t="s">
        <v>211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10"/>
      <c r="H137" s="210"/>
      <c r="I137" s="210"/>
      <c r="J137" s="21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211"/>
      <c r="O138" s="211"/>
    </row>
    <row r="139" spans="3:15" ht="15.75">
      <c r="C139" s="120">
        <v>41726</v>
      </c>
      <c r="D139" s="39">
        <v>4682.6</v>
      </c>
      <c r="F139" s="4" t="s">
        <v>166</v>
      </c>
      <c r="G139" s="179" t="s">
        <v>151</v>
      </c>
      <c r="H139" s="179"/>
      <c r="I139" s="115">
        <v>13825.22196</v>
      </c>
      <c r="J139" s="180" t="s">
        <v>161</v>
      </c>
      <c r="K139" s="180"/>
      <c r="L139" s="180"/>
      <c r="M139" s="180"/>
      <c r="N139" s="211"/>
      <c r="O139" s="211"/>
    </row>
    <row r="140" spans="3:15" ht="15.75">
      <c r="C140" s="120">
        <v>41725</v>
      </c>
      <c r="D140" s="39">
        <v>3360.7</v>
      </c>
      <c r="G140" s="212" t="s">
        <v>155</v>
      </c>
      <c r="H140" s="212"/>
      <c r="I140" s="112">
        <v>0</v>
      </c>
      <c r="J140" s="213" t="s">
        <v>162</v>
      </c>
      <c r="K140" s="213"/>
      <c r="L140" s="213"/>
      <c r="M140" s="213"/>
      <c r="N140" s="211"/>
      <c r="O140" s="211"/>
    </row>
    <row r="141" spans="7:13" ht="15.75" customHeight="1">
      <c r="G141" s="179" t="s">
        <v>148</v>
      </c>
      <c r="H141" s="179"/>
      <c r="I141" s="112">
        <v>0</v>
      </c>
      <c r="J141" s="180" t="s">
        <v>163</v>
      </c>
      <c r="K141" s="180"/>
      <c r="L141" s="180"/>
      <c r="M141" s="180"/>
    </row>
    <row r="142" spans="2:13" ht="18.75" customHeight="1">
      <c r="B142" s="214" t="s">
        <v>160</v>
      </c>
      <c r="C142" s="215"/>
      <c r="D142" s="117">
        <v>114985.02570999999</v>
      </c>
      <c r="E142" s="80"/>
      <c r="F142" s="100" t="s">
        <v>147</v>
      </c>
      <c r="G142" s="179" t="s">
        <v>149</v>
      </c>
      <c r="H142" s="179"/>
      <c r="I142" s="116">
        <v>101159.80375</v>
      </c>
      <c r="J142" s="180" t="s">
        <v>164</v>
      </c>
      <c r="K142" s="180"/>
      <c r="L142" s="180"/>
      <c r="M142" s="180"/>
    </row>
    <row r="143" spans="7:12" ht="9.75" customHeight="1">
      <c r="G143" s="216"/>
      <c r="H143" s="216"/>
      <c r="I143" s="98"/>
      <c r="J143" s="99"/>
      <c r="K143" s="99"/>
      <c r="L143" s="99"/>
    </row>
    <row r="144" spans="2:12" ht="22.5" customHeight="1">
      <c r="B144" s="217" t="s">
        <v>169</v>
      </c>
      <c r="C144" s="218"/>
      <c r="D144" s="119">
        <v>3918.1</v>
      </c>
      <c r="E144" s="77" t="s">
        <v>104</v>
      </c>
      <c r="G144" s="216"/>
      <c r="H144" s="216"/>
      <c r="I144" s="98"/>
      <c r="J144" s="99"/>
      <c r="K144" s="99"/>
      <c r="L144" s="99"/>
    </row>
    <row r="145" spans="4:15" ht="15.75">
      <c r="D145" s="114"/>
      <c r="N145" s="216"/>
      <c r="O145" s="216"/>
    </row>
    <row r="146" spans="4:15" ht="15.75">
      <c r="D146" s="113"/>
      <c r="I146" s="39"/>
      <c r="N146" s="219"/>
      <c r="O146" s="219"/>
    </row>
    <row r="147" spans="14:15" ht="15.75">
      <c r="N147" s="216"/>
      <c r="O147" s="216"/>
    </row>
  </sheetData>
  <mergeCells count="38"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  <mergeCell ref="N4:N5"/>
    <mergeCell ref="O4:O5"/>
    <mergeCell ref="P4:P5"/>
    <mergeCell ref="G137:J137"/>
    <mergeCell ref="N138:O138"/>
    <mergeCell ref="G139:H139"/>
    <mergeCell ref="J139:M139"/>
    <mergeCell ref="N139:O139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83" t="s">
        <v>193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221" t="s">
        <v>187</v>
      </c>
      <c r="E3" s="46"/>
      <c r="F3" s="222" t="s">
        <v>107</v>
      </c>
      <c r="G3" s="223"/>
      <c r="H3" s="223"/>
      <c r="I3" s="223"/>
      <c r="J3" s="224"/>
      <c r="K3" s="123"/>
      <c r="L3" s="123"/>
      <c r="M3" s="225" t="s">
        <v>190</v>
      </c>
      <c r="N3" s="220" t="s">
        <v>185</v>
      </c>
      <c r="O3" s="220"/>
      <c r="P3" s="220"/>
      <c r="Q3" s="220"/>
      <c r="R3" s="220"/>
    </row>
    <row r="4" spans="1:18" ht="22.5" customHeight="1">
      <c r="A4" s="185"/>
      <c r="B4" s="187"/>
      <c r="C4" s="188"/>
      <c r="D4" s="221"/>
      <c r="E4" s="226" t="s">
        <v>191</v>
      </c>
      <c r="F4" s="228" t="s">
        <v>116</v>
      </c>
      <c r="G4" s="230" t="s">
        <v>167</v>
      </c>
      <c r="H4" s="200" t="s">
        <v>168</v>
      </c>
      <c r="I4" s="232" t="s">
        <v>188</v>
      </c>
      <c r="J4" s="234" t="s">
        <v>189</v>
      </c>
      <c r="K4" s="125" t="s">
        <v>174</v>
      </c>
      <c r="L4" s="130" t="s">
        <v>173</v>
      </c>
      <c r="M4" s="225"/>
      <c r="N4" s="181" t="s">
        <v>194</v>
      </c>
      <c r="O4" s="232" t="s">
        <v>136</v>
      </c>
      <c r="P4" s="220" t="s">
        <v>135</v>
      </c>
      <c r="Q4" s="131" t="s">
        <v>174</v>
      </c>
      <c r="R4" s="132" t="s">
        <v>173</v>
      </c>
    </row>
    <row r="5" spans="1:18" ht="82.5" customHeight="1">
      <c r="A5" s="186"/>
      <c r="B5" s="187"/>
      <c r="C5" s="188"/>
      <c r="D5" s="221"/>
      <c r="E5" s="227"/>
      <c r="F5" s="229"/>
      <c r="G5" s="231"/>
      <c r="H5" s="201"/>
      <c r="I5" s="233"/>
      <c r="J5" s="235"/>
      <c r="K5" s="208" t="s">
        <v>184</v>
      </c>
      <c r="L5" s="209"/>
      <c r="M5" s="225"/>
      <c r="N5" s="182"/>
      <c r="O5" s="233"/>
      <c r="P5" s="220"/>
      <c r="Q5" s="208" t="s">
        <v>199</v>
      </c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10"/>
      <c r="H137" s="210"/>
      <c r="I137" s="210"/>
      <c r="J137" s="21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211"/>
      <c r="O138" s="211"/>
    </row>
    <row r="139" spans="3:15" ht="15.75">
      <c r="C139" s="120">
        <v>41697</v>
      </c>
      <c r="D139" s="39">
        <v>2276.8</v>
      </c>
      <c r="F139" s="4" t="s">
        <v>166</v>
      </c>
      <c r="G139" s="179" t="s">
        <v>151</v>
      </c>
      <c r="H139" s="179"/>
      <c r="I139" s="115">
        <v>13825.22</v>
      </c>
      <c r="J139" s="180" t="s">
        <v>161</v>
      </c>
      <c r="K139" s="180"/>
      <c r="L139" s="180"/>
      <c r="M139" s="180"/>
      <c r="N139" s="211"/>
      <c r="O139" s="211"/>
    </row>
    <row r="140" spans="3:15" ht="15.75">
      <c r="C140" s="120">
        <v>41696</v>
      </c>
      <c r="D140" s="39">
        <v>3746.1</v>
      </c>
      <c r="G140" s="212" t="s">
        <v>155</v>
      </c>
      <c r="H140" s="212"/>
      <c r="I140" s="112">
        <v>0</v>
      </c>
      <c r="J140" s="213" t="s">
        <v>162</v>
      </c>
      <c r="K140" s="213"/>
      <c r="L140" s="213"/>
      <c r="M140" s="213"/>
      <c r="N140" s="211"/>
      <c r="O140" s="211"/>
    </row>
    <row r="141" spans="7:13" ht="15.75" customHeight="1">
      <c r="G141" s="179" t="s">
        <v>148</v>
      </c>
      <c r="H141" s="179"/>
      <c r="I141" s="112">
        <f>'[1]залишки  (2)'!$G$8/1000</f>
        <v>0</v>
      </c>
      <c r="J141" s="180" t="s">
        <v>163</v>
      </c>
      <c r="K141" s="180"/>
      <c r="L141" s="180"/>
      <c r="M141" s="180"/>
    </row>
    <row r="142" spans="2:13" ht="18.75" customHeight="1">
      <c r="B142" s="214" t="s">
        <v>160</v>
      </c>
      <c r="C142" s="215"/>
      <c r="D142" s="117">
        <v>121970.53</v>
      </c>
      <c r="E142" s="80"/>
      <c r="F142" s="100" t="s">
        <v>147</v>
      </c>
      <c r="G142" s="179" t="s">
        <v>149</v>
      </c>
      <c r="H142" s="179"/>
      <c r="I142" s="116">
        <v>108145.31</v>
      </c>
      <c r="J142" s="180" t="s">
        <v>164</v>
      </c>
      <c r="K142" s="180"/>
      <c r="L142" s="180"/>
      <c r="M142" s="180"/>
    </row>
    <row r="143" spans="7:12" ht="9.75" customHeight="1">
      <c r="G143" s="216"/>
      <c r="H143" s="216"/>
      <c r="I143" s="98"/>
      <c r="J143" s="99"/>
      <c r="K143" s="99"/>
      <c r="L143" s="99"/>
    </row>
    <row r="144" spans="2:12" ht="22.5" customHeight="1">
      <c r="B144" s="217" t="s">
        <v>169</v>
      </c>
      <c r="C144" s="218"/>
      <c r="D144" s="119">
        <v>0</v>
      </c>
      <c r="E144" s="77" t="s">
        <v>104</v>
      </c>
      <c r="G144" s="216"/>
      <c r="H144" s="216"/>
      <c r="I144" s="98"/>
      <c r="J144" s="99"/>
      <c r="K144" s="99"/>
      <c r="L144" s="99"/>
    </row>
    <row r="145" spans="4:15" ht="15.75">
      <c r="D145" s="114"/>
      <c r="N145" s="216"/>
      <c r="O145" s="216"/>
    </row>
    <row r="146" spans="4:15" ht="15.75">
      <c r="D146" s="113"/>
      <c r="I146" s="39"/>
      <c r="N146" s="219"/>
      <c r="O146" s="219"/>
    </row>
    <row r="147" spans="14:15" ht="15.75">
      <c r="N147" s="216"/>
      <c r="O147" s="216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83" t="s">
        <v>183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221" t="s">
        <v>192</v>
      </c>
      <c r="E3" s="46"/>
      <c r="F3" s="222" t="s">
        <v>107</v>
      </c>
      <c r="G3" s="223"/>
      <c r="H3" s="223"/>
      <c r="I3" s="223"/>
      <c r="J3" s="224"/>
      <c r="K3" s="123"/>
      <c r="L3" s="123"/>
      <c r="M3" s="204" t="s">
        <v>200</v>
      </c>
      <c r="N3" s="220" t="s">
        <v>178</v>
      </c>
      <c r="O3" s="220"/>
      <c r="P3" s="220"/>
      <c r="Q3" s="220"/>
      <c r="R3" s="220"/>
    </row>
    <row r="4" spans="1:18" ht="22.5" customHeight="1">
      <c r="A4" s="185"/>
      <c r="B4" s="187"/>
      <c r="C4" s="188"/>
      <c r="D4" s="221"/>
      <c r="E4" s="226" t="s">
        <v>153</v>
      </c>
      <c r="F4" s="228" t="s">
        <v>116</v>
      </c>
      <c r="G4" s="230" t="s">
        <v>175</v>
      </c>
      <c r="H4" s="200" t="s">
        <v>176</v>
      </c>
      <c r="I4" s="232" t="s">
        <v>188</v>
      </c>
      <c r="J4" s="234" t="s">
        <v>189</v>
      </c>
      <c r="K4" s="125" t="s">
        <v>174</v>
      </c>
      <c r="L4" s="130" t="s">
        <v>173</v>
      </c>
      <c r="M4" s="236"/>
      <c r="N4" s="181" t="s">
        <v>186</v>
      </c>
      <c r="O4" s="232" t="s">
        <v>136</v>
      </c>
      <c r="P4" s="220" t="s">
        <v>135</v>
      </c>
      <c r="Q4" s="131" t="s">
        <v>174</v>
      </c>
      <c r="R4" s="132" t="s">
        <v>173</v>
      </c>
    </row>
    <row r="5" spans="1:18" ht="82.5" customHeight="1">
      <c r="A5" s="186"/>
      <c r="B5" s="187"/>
      <c r="C5" s="188"/>
      <c r="D5" s="221"/>
      <c r="E5" s="227"/>
      <c r="F5" s="229"/>
      <c r="G5" s="231"/>
      <c r="H5" s="201"/>
      <c r="I5" s="233"/>
      <c r="J5" s="235"/>
      <c r="K5" s="208" t="s">
        <v>177</v>
      </c>
      <c r="L5" s="209"/>
      <c r="M5" s="205"/>
      <c r="N5" s="182"/>
      <c r="O5" s="233"/>
      <c r="P5" s="220"/>
      <c r="Q5" s="208" t="s">
        <v>179</v>
      </c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10"/>
      <c r="H137" s="210"/>
      <c r="I137" s="210"/>
      <c r="J137" s="21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211"/>
      <c r="O138" s="211"/>
    </row>
    <row r="139" spans="3:15" ht="15.75">
      <c r="C139" s="120">
        <v>41669</v>
      </c>
      <c r="D139" s="39">
        <v>4752.2</v>
      </c>
      <c r="F139" s="4" t="s">
        <v>166</v>
      </c>
      <c r="G139" s="179" t="s">
        <v>151</v>
      </c>
      <c r="H139" s="179"/>
      <c r="I139" s="115">
        <v>13825.22</v>
      </c>
      <c r="J139" s="180" t="s">
        <v>161</v>
      </c>
      <c r="K139" s="180"/>
      <c r="L139" s="180"/>
      <c r="M139" s="180"/>
      <c r="N139" s="211"/>
      <c r="O139" s="211"/>
    </row>
    <row r="140" spans="3:15" ht="15.75">
      <c r="C140" s="120">
        <v>41668</v>
      </c>
      <c r="D140" s="39">
        <v>1984.7</v>
      </c>
      <c r="G140" s="212" t="s">
        <v>155</v>
      </c>
      <c r="H140" s="212"/>
      <c r="I140" s="112">
        <v>0</v>
      </c>
      <c r="J140" s="213" t="s">
        <v>162</v>
      </c>
      <c r="K140" s="213"/>
      <c r="L140" s="213"/>
      <c r="M140" s="213"/>
      <c r="N140" s="211"/>
      <c r="O140" s="211"/>
    </row>
    <row r="141" spans="7:13" ht="15.75" customHeight="1">
      <c r="G141" s="179" t="s">
        <v>148</v>
      </c>
      <c r="H141" s="179"/>
      <c r="I141" s="112">
        <v>0</v>
      </c>
      <c r="J141" s="180" t="s">
        <v>163</v>
      </c>
      <c r="K141" s="180"/>
      <c r="L141" s="180"/>
      <c r="M141" s="180"/>
    </row>
    <row r="142" spans="2:13" ht="18.75" customHeight="1">
      <c r="B142" s="214" t="s">
        <v>160</v>
      </c>
      <c r="C142" s="215"/>
      <c r="D142" s="117">
        <v>111410.62</v>
      </c>
      <c r="E142" s="80"/>
      <c r="F142" s="100" t="s">
        <v>147</v>
      </c>
      <c r="G142" s="179" t="s">
        <v>149</v>
      </c>
      <c r="H142" s="179"/>
      <c r="I142" s="116">
        <v>97585.4</v>
      </c>
      <c r="J142" s="180" t="s">
        <v>164</v>
      </c>
      <c r="K142" s="180"/>
      <c r="L142" s="180"/>
      <c r="M142" s="180"/>
    </row>
    <row r="143" spans="7:12" ht="9.75" customHeight="1">
      <c r="G143" s="216"/>
      <c r="H143" s="216"/>
      <c r="I143" s="98"/>
      <c r="J143" s="99"/>
      <c r="K143" s="99"/>
      <c r="L143" s="99"/>
    </row>
    <row r="144" spans="2:12" ht="22.5" customHeight="1">
      <c r="B144" s="217" t="s">
        <v>169</v>
      </c>
      <c r="C144" s="218"/>
      <c r="D144" s="119">
        <v>0</v>
      </c>
      <c r="E144" s="77" t="s">
        <v>104</v>
      </c>
      <c r="G144" s="216"/>
      <c r="H144" s="216"/>
      <c r="I144" s="98"/>
      <c r="J144" s="99"/>
      <c r="K144" s="99"/>
      <c r="L144" s="99"/>
    </row>
    <row r="145" spans="4:15" ht="15.75">
      <c r="D145" s="114"/>
      <c r="N145" s="216"/>
      <c r="O145" s="216"/>
    </row>
    <row r="146" spans="4:15" ht="15.75">
      <c r="D146" s="113"/>
      <c r="I146" s="39"/>
      <c r="N146" s="219"/>
      <c r="O146" s="219"/>
    </row>
    <row r="147" spans="14:15" ht="15.75">
      <c r="N147" s="216"/>
      <c r="O147" s="216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297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294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291</v>
      </c>
      <c r="H4" s="200" t="s">
        <v>301</v>
      </c>
      <c r="I4" s="202" t="s">
        <v>188</v>
      </c>
      <c r="J4" s="204" t="s">
        <v>189</v>
      </c>
      <c r="K4" s="206" t="s">
        <v>292</v>
      </c>
      <c r="L4" s="207"/>
      <c r="M4" s="194"/>
      <c r="N4" s="181" t="s">
        <v>298</v>
      </c>
      <c r="O4" s="202" t="s">
        <v>136</v>
      </c>
      <c r="P4" s="202" t="s">
        <v>135</v>
      </c>
      <c r="Q4" s="206" t="s">
        <v>296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290</v>
      </c>
      <c r="F5" s="197"/>
      <c r="G5" s="199"/>
      <c r="H5" s="201"/>
      <c r="I5" s="203"/>
      <c r="J5" s="205"/>
      <c r="K5" s="208"/>
      <c r="L5" s="209"/>
      <c r="M5" s="151" t="s">
        <v>293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431258.02999999997</v>
      </c>
      <c r="F8" s="22">
        <f>F10+F19+F33+F56+F68+F30</f>
        <v>428715.06000000006</v>
      </c>
      <c r="G8" s="22">
        <f aca="true" t="shared" si="0" ref="G8:G30">F8-E8</f>
        <v>-2542.969999999914</v>
      </c>
      <c r="H8" s="51">
        <f>F8/E8*100</f>
        <v>99.4103367768016</v>
      </c>
      <c r="I8" s="36">
        <f aca="true" t="shared" si="1" ref="I8:I17">F8-D8</f>
        <v>-59761.23999999993</v>
      </c>
      <c r="J8" s="36">
        <f aca="true" t="shared" si="2" ref="J8:J14">F8/D8*100</f>
        <v>87.76578515682338</v>
      </c>
      <c r="K8" s="36">
        <f>F8-421084.1</f>
        <v>7630.960000000079</v>
      </c>
      <c r="L8" s="136">
        <f>F8/421084.1</f>
        <v>1.0181221755939018</v>
      </c>
      <c r="M8" s="22">
        <f>M10+M19+M33+M56+M68+M30</f>
        <v>40254.39000000002</v>
      </c>
      <c r="N8" s="22">
        <f>N10+N19+N33+N56+N68+N30</f>
        <v>39955.81000000002</v>
      </c>
      <c r="O8" s="36">
        <f aca="true" t="shared" si="3" ref="O8:O71">N8-M8</f>
        <v>-298.58000000000175</v>
      </c>
      <c r="P8" s="36">
        <f>F8/M8*100</f>
        <v>1065.0144245136985</v>
      </c>
      <c r="Q8" s="36">
        <f>N8-39535.7</f>
        <v>420.1100000000224</v>
      </c>
      <c r="R8" s="134">
        <f>N8/39535.7</f>
        <v>1.0106260923671522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349197.38</v>
      </c>
      <c r="G9" s="22">
        <f t="shared" si="0"/>
        <v>349197.38</v>
      </c>
      <c r="H9" s="20"/>
      <c r="I9" s="56">
        <f t="shared" si="1"/>
        <v>-37815.82000000001</v>
      </c>
      <c r="J9" s="56">
        <f t="shared" si="2"/>
        <v>90.22880356535643</v>
      </c>
      <c r="K9" s="56"/>
      <c r="L9" s="135"/>
      <c r="M9" s="20">
        <f>M10+M17</f>
        <v>32301.900000000023</v>
      </c>
      <c r="N9" s="20">
        <f>N10+N17</f>
        <v>33175.19</v>
      </c>
      <c r="O9" s="36">
        <f t="shared" si="3"/>
        <v>873.289999999979</v>
      </c>
      <c r="P9" s="56">
        <f>F9/M9*100</f>
        <v>1081.0428488726661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352008</v>
      </c>
      <c r="F10" s="169">
        <v>349197.38</v>
      </c>
      <c r="G10" s="49">
        <f t="shared" si="0"/>
        <v>-2810.6199999999953</v>
      </c>
      <c r="H10" s="40">
        <f aca="true" t="shared" si="4" ref="H10:H17">F10/E10*100</f>
        <v>99.2015465557601</v>
      </c>
      <c r="I10" s="56">
        <f t="shared" si="1"/>
        <v>-37815.82000000001</v>
      </c>
      <c r="J10" s="56">
        <f t="shared" si="2"/>
        <v>90.22880356535643</v>
      </c>
      <c r="K10" s="141">
        <f>F10-334336.4</f>
        <v>14860.979999999981</v>
      </c>
      <c r="L10" s="142">
        <f>F10/334336.4</f>
        <v>1.0444491835169607</v>
      </c>
      <c r="M10" s="40">
        <f>E10-жовтень!E10</f>
        <v>32301.900000000023</v>
      </c>
      <c r="N10" s="40">
        <f>F10-жовтень!F10</f>
        <v>33175.19</v>
      </c>
      <c r="O10" s="53">
        <f t="shared" si="3"/>
        <v>873.289999999979</v>
      </c>
      <c r="P10" s="56">
        <f aca="true" t="shared" si="5" ref="P10:P17">N10/M10*100</f>
        <v>102.70352517963333</v>
      </c>
      <c r="Q10" s="141">
        <f>N10-32243.9</f>
        <v>931.2900000000009</v>
      </c>
      <c r="R10" s="142">
        <f>N10/32243.9</f>
        <v>1.0288826723814428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E11-жовтень!E11</f>
        <v>0</v>
      </c>
      <c r="N11" s="40">
        <f>F11-жовтень!F11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E12-жовтень!E12</f>
        <v>0</v>
      </c>
      <c r="N12" s="40">
        <f>F12-жовтень!F12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E13-жовтень!E13</f>
        <v>0</v>
      </c>
      <c r="N13" s="40">
        <f>F13-жовтень!F13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E14-жовтень!E14</f>
        <v>0</v>
      </c>
      <c r="N14" s="40">
        <f>F14-жовтень!F14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E15-жовтень!E15</f>
        <v>0</v>
      </c>
      <c r="N15" s="40">
        <f>F15-жовтень!F15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E16-жовтень!E16</f>
        <v>0</v>
      </c>
      <c r="N16" s="40">
        <f>F16-жовтень!F16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E17-жовтень!E17</f>
        <v>0</v>
      </c>
      <c r="N17" s="40">
        <f>F17-жовтень!F17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E18-жовтень!E18</f>
        <v>0</v>
      </c>
      <c r="N18" s="40">
        <f>F18-жовтень!F18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1079.6</v>
      </c>
      <c r="F19" s="169">
        <v>-1352.56</v>
      </c>
      <c r="G19" s="49">
        <f t="shared" si="0"/>
        <v>-2432.16</v>
      </c>
      <c r="H19" s="40">
        <f aca="true" t="shared" si="6" ref="H19:H29">F19/E19*100</f>
        <v>-125.28343831048537</v>
      </c>
      <c r="I19" s="56">
        <f aca="true" t="shared" si="7" ref="I19:I29">F19-D19</f>
        <v>-2352.56</v>
      </c>
      <c r="J19" s="56">
        <f aca="true" t="shared" si="8" ref="J19:J29">F19/D19*100</f>
        <v>-135.256</v>
      </c>
      <c r="K19" s="167">
        <f>F19-7207</f>
        <v>-8559.56</v>
      </c>
      <c r="L19" s="168">
        <f>F19/7207</f>
        <v>-0.18767309560149853</v>
      </c>
      <c r="M19" s="40">
        <f>E19-жовтень!E19</f>
        <v>12</v>
      </c>
      <c r="N19" s="40">
        <f>F19-жовтень!F19</f>
        <v>-471.66999999999996</v>
      </c>
      <c r="O19" s="53">
        <f t="shared" si="3"/>
        <v>-483.66999999999996</v>
      </c>
      <c r="P19" s="56">
        <f aca="true" t="shared" si="9" ref="P19:P29">N19/M19*100</f>
        <v>-3930.583333333333</v>
      </c>
      <c r="Q19" s="56">
        <f>N19-363.4</f>
        <v>-835.0699999999999</v>
      </c>
      <c r="R19" s="135">
        <f>N19/363.4</f>
        <v>-1.297936158503027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E20-жовтень!E20</f>
        <v>0</v>
      </c>
      <c r="N20" s="40">
        <f>F20-жовтень!F20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E21-жовтень!E21</f>
        <v>0</v>
      </c>
      <c r="N21" s="40">
        <f>F21-жовтень!F21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E22-жовтень!E22</f>
        <v>0</v>
      </c>
      <c r="N22" s="40">
        <f>F22-жовтень!F22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E23-жовтень!E23</f>
        <v>0</v>
      </c>
      <c r="N23" s="40">
        <f>F23-жовтень!F23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E24-жовтень!E24</f>
        <v>0</v>
      </c>
      <c r="N24" s="40">
        <f>F24-жовтень!F24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E25-жовтень!E25</f>
        <v>0</v>
      </c>
      <c r="N25" s="40">
        <f>F25-жовтень!F25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E26-жовтень!E26</f>
        <v>0</v>
      </c>
      <c r="N26" s="40">
        <f>F26-жовтень!F26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E27-жовтень!E27</f>
        <v>0</v>
      </c>
      <c r="N27" s="40">
        <f>F27-жовтень!F27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E28-жовтень!E28</f>
        <v>0</v>
      </c>
      <c r="N28" s="40">
        <f>F28-жовтень!F28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819.6</v>
      </c>
      <c r="F29" s="170">
        <v>-869.42</v>
      </c>
      <c r="G29" s="49">
        <f t="shared" si="0"/>
        <v>-1689.02</v>
      </c>
      <c r="H29" s="40">
        <f t="shared" si="6"/>
        <v>-106.07857491459247</v>
      </c>
      <c r="I29" s="56">
        <f t="shared" si="7"/>
        <v>-1799.42</v>
      </c>
      <c r="J29" s="56">
        <f t="shared" si="8"/>
        <v>-93.48602150537634</v>
      </c>
      <c r="K29" s="148">
        <f>F29-3580.01</f>
        <v>-4449.43</v>
      </c>
      <c r="L29" s="149">
        <f>F29/3580.01</f>
        <v>-0.24285407024002723</v>
      </c>
      <c r="M29" s="40">
        <f>E29-жовтень!E29</f>
        <v>12</v>
      </c>
      <c r="N29" s="40">
        <f>F29-жовтень!F29</f>
        <v>-487.52</v>
      </c>
      <c r="O29" s="148">
        <f t="shared" si="3"/>
        <v>-499.52</v>
      </c>
      <c r="P29" s="145">
        <f t="shared" si="9"/>
        <v>-4062.6666666666665</v>
      </c>
      <c r="Q29" s="148">
        <f>N29-664.71</f>
        <v>-1152.23</v>
      </c>
      <c r="R29" s="149">
        <f>N29/664.71</f>
        <v>-0.7334326247536519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37</v>
      </c>
      <c r="F30" s="169">
        <f>0.04+31.36</f>
        <v>31.4</v>
      </c>
      <c r="G30" s="49">
        <f t="shared" si="0"/>
        <v>-5.600000000000001</v>
      </c>
      <c r="H30" s="40"/>
      <c r="I30" s="56"/>
      <c r="J30" s="56"/>
      <c r="K30" s="56">
        <f>F30-36.9</f>
        <v>-5.5</v>
      </c>
      <c r="L30" s="149">
        <f>F30/36.9</f>
        <v>0.8509485094850948</v>
      </c>
      <c r="M30" s="40">
        <f>E30-жовтень!E30</f>
        <v>9.5</v>
      </c>
      <c r="N30" s="40">
        <f>F30-жовтень!F30</f>
        <v>28.049999999999997</v>
      </c>
      <c r="O30" s="53">
        <f t="shared" si="3"/>
        <v>18.549999999999997</v>
      </c>
      <c r="P30" s="56"/>
      <c r="Q30" s="56">
        <f>N30-11.8</f>
        <v>16.249999999999996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E31-жовтень!E31</f>
        <v>0</v>
      </c>
      <c r="N31" s="40">
        <f>F31-жовтень!F31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E32-жовтень!E32</f>
        <v>0</v>
      </c>
      <c r="N32" s="40">
        <f>F32-жовтень!F32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71913.43</v>
      </c>
      <c r="F33" s="169">
        <v>74997.77</v>
      </c>
      <c r="G33" s="49">
        <f aca="true" t="shared" si="14" ref="G33:G72">F33-E33</f>
        <v>3084.340000000011</v>
      </c>
      <c r="H33" s="40">
        <f aca="true" t="shared" si="15" ref="H33:H67">F33/E33*100</f>
        <v>104.28896243719707</v>
      </c>
      <c r="I33" s="56">
        <f>F33-D33</f>
        <v>-18568.229999999996</v>
      </c>
      <c r="J33" s="56">
        <f aca="true" t="shared" si="16" ref="J33:J72">F33/D33*100</f>
        <v>80.15493875980592</v>
      </c>
      <c r="K33" s="141">
        <f>F33-73845.7</f>
        <v>1152.070000000007</v>
      </c>
      <c r="L33" s="142">
        <f>F33/73845.7</f>
        <v>1.0156010437980818</v>
      </c>
      <c r="M33" s="40">
        <f>E33-жовтень!E33</f>
        <v>7377.5899999999965</v>
      </c>
      <c r="N33" s="40">
        <f>F33-жовтень!F33</f>
        <v>6730.930000000008</v>
      </c>
      <c r="O33" s="53">
        <f t="shared" si="3"/>
        <v>-646.6599999999889</v>
      </c>
      <c r="P33" s="56">
        <f aca="true" t="shared" si="17" ref="P33:P67">N33/M33*100</f>
        <v>91.2348070304803</v>
      </c>
      <c r="Q33" s="141">
        <f>N33-6429.9</f>
        <v>301.03000000000793</v>
      </c>
      <c r="R33" s="142">
        <f>N33/6429.9</f>
        <v>1.0468172133314684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E34-жовтень!E34</f>
        <v>0</v>
      </c>
      <c r="N34" s="40">
        <f>F34-жовтень!F34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E35-жовтень!E35</f>
        <v>0</v>
      </c>
      <c r="N35" s="40">
        <f>F35-жовтень!F35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E36-жовтень!E36</f>
        <v>0</v>
      </c>
      <c r="N36" s="40">
        <f>F36-жовтень!F36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E37-жовтень!E37</f>
        <v>0</v>
      </c>
      <c r="N37" s="40">
        <f>F37-жовтень!F37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E38-жовтень!E38</f>
        <v>0</v>
      </c>
      <c r="N38" s="40">
        <f>F38-жовтень!F38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E39-жовтень!E39</f>
        <v>0</v>
      </c>
      <c r="N39" s="40">
        <f>F39-жовтень!F39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E40-жовтень!E40</f>
        <v>0</v>
      </c>
      <c r="N40" s="40">
        <f>F40-жовтень!F40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E41-жовтень!E41</f>
        <v>0</v>
      </c>
      <c r="N41" s="40">
        <f>F41-жовтень!F41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E42-жовтень!E42</f>
        <v>0</v>
      </c>
      <c r="N42" s="40">
        <f>F42-жовтень!F42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E43-жовтень!E43</f>
        <v>0</v>
      </c>
      <c r="N43" s="40">
        <f>F43-жовтень!F43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E44-жовтень!E44</f>
        <v>0</v>
      </c>
      <c r="N44" s="40">
        <f>F44-жовтень!F44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E45-жовтень!E45</f>
        <v>0</v>
      </c>
      <c r="N45" s="40">
        <f>F45-жовтень!F45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E46-жовтень!E46</f>
        <v>0</v>
      </c>
      <c r="N46" s="40">
        <f>F46-жовтень!F46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E47-жовтень!E47</f>
        <v>0</v>
      </c>
      <c r="N47" s="40">
        <f>F47-жовтень!F47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E48-жовтень!E48</f>
        <v>0</v>
      </c>
      <c r="N48" s="40">
        <f>F48-жовтень!F48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E49-жовтень!E49</f>
        <v>0</v>
      </c>
      <c r="N49" s="40">
        <f>F49-жовтень!F49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E50-жовтень!E50</f>
        <v>0</v>
      </c>
      <c r="N50" s="40">
        <f>F50-жовтень!F50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E51-жовтень!E51</f>
        <v>0</v>
      </c>
      <c r="N51" s="40">
        <f>F51-жовтень!F51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E52-жовтень!E52</f>
        <v>0</v>
      </c>
      <c r="N52" s="40">
        <f>F52-жовтень!F52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E53-жовтень!E53</f>
        <v>0</v>
      </c>
      <c r="N53" s="40">
        <f>F53-жовтень!F53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E54-жовтень!E54</f>
        <v>0</v>
      </c>
      <c r="N54" s="40">
        <f>F54-жовтень!F54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52848.53</v>
      </c>
      <c r="F55" s="170">
        <v>55750.15</v>
      </c>
      <c r="G55" s="144">
        <f t="shared" si="14"/>
        <v>2901.6200000000026</v>
      </c>
      <c r="H55" s="146">
        <f t="shared" si="15"/>
        <v>105.49044599726804</v>
      </c>
      <c r="I55" s="145">
        <f t="shared" si="18"/>
        <v>-14515.849999999999</v>
      </c>
      <c r="J55" s="145">
        <f t="shared" si="16"/>
        <v>79.34157344946347</v>
      </c>
      <c r="K55" s="148">
        <f>F55-53912.95</f>
        <v>1837.2000000000044</v>
      </c>
      <c r="L55" s="149">
        <f>F55/53912.95</f>
        <v>1.034077155859585</v>
      </c>
      <c r="M55" s="40">
        <f>E55-жовтень!E55</f>
        <v>5442.989999999998</v>
      </c>
      <c r="N55" s="40">
        <f>F55-жовтень!F55</f>
        <v>5045.5</v>
      </c>
      <c r="O55" s="148">
        <f t="shared" si="3"/>
        <v>-397.48999999999796</v>
      </c>
      <c r="P55" s="148">
        <f t="shared" si="17"/>
        <v>92.69721237775565</v>
      </c>
      <c r="Q55" s="160">
        <f>N55-4756.32</f>
        <v>289.1800000000003</v>
      </c>
      <c r="R55" s="161">
        <f>N55/4756.32</f>
        <v>1.0607991051905676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6219.9</v>
      </c>
      <c r="F56" s="169">
        <f>1.51+5837.61</f>
        <v>5839.12</v>
      </c>
      <c r="G56" s="49">
        <f t="shared" si="14"/>
        <v>-380.77999999999975</v>
      </c>
      <c r="H56" s="40">
        <f t="shared" si="15"/>
        <v>93.87803662438303</v>
      </c>
      <c r="I56" s="56">
        <f t="shared" si="18"/>
        <v>-1020.8800000000001</v>
      </c>
      <c r="J56" s="56">
        <f t="shared" si="16"/>
        <v>85.11836734693877</v>
      </c>
      <c r="K56" s="56">
        <f>F56-6560</f>
        <v>-720.8800000000001</v>
      </c>
      <c r="L56" s="135">
        <f>F56/6560</f>
        <v>0.8901097560975609</v>
      </c>
      <c r="M56" s="40">
        <f>E56-жовтень!E56</f>
        <v>553.3999999999996</v>
      </c>
      <c r="N56" s="40">
        <f>F56-жовтень!F56</f>
        <v>493.15999999999985</v>
      </c>
      <c r="O56" s="53">
        <f t="shared" si="3"/>
        <v>-60.23999999999978</v>
      </c>
      <c r="P56" s="56">
        <f t="shared" si="17"/>
        <v>89.1145645103</v>
      </c>
      <c r="Q56" s="56">
        <f>N56-486.5</f>
        <v>6.6599999999998545</v>
      </c>
      <c r="R56" s="135">
        <f>N56/486.5</f>
        <v>1.013689619732785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E57-жовтень!E57</f>
        <v>0</v>
      </c>
      <c r="N57" s="40">
        <f>F57-жовтень!F57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E58-жовтень!E58</f>
        <v>0</v>
      </c>
      <c r="N58" s="40">
        <f>F58-жовтень!F58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E59-жовтень!E59</f>
        <v>0</v>
      </c>
      <c r="N59" s="40">
        <f>F59-жовтень!F59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E60-жовтень!E60</f>
        <v>0</v>
      </c>
      <c r="N60" s="40">
        <f>F60-жовтень!F60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E61-жовтень!E61</f>
        <v>0</v>
      </c>
      <c r="N61" s="40">
        <f>F61-жовтень!F61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E62-жовтень!E62</f>
        <v>0</v>
      </c>
      <c r="N62" s="40">
        <f>F62-жовтень!F62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E63-жовтень!E63</f>
        <v>0</v>
      </c>
      <c r="N63" s="40">
        <f>F63-жовтень!F63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E64-жовтень!E64</f>
        <v>0</v>
      </c>
      <c r="N64" s="40">
        <f>F64-жовтень!F64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E65-жовтень!E65</f>
        <v>0</v>
      </c>
      <c r="N65" s="40">
        <f>F65-жовтень!F65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E66-жовтень!E66</f>
        <v>0</v>
      </c>
      <c r="N66" s="40">
        <f>F66-жовтень!F66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E67-жовтень!E67</f>
        <v>0</v>
      </c>
      <c r="N67" s="40">
        <f>F67-жовтень!F67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1.95</v>
      </c>
      <c r="G68" s="49">
        <f t="shared" si="14"/>
        <v>1.8499999999999999</v>
      </c>
      <c r="H68" s="40"/>
      <c r="I68" s="56">
        <f t="shared" si="18"/>
        <v>1.8499999999999999</v>
      </c>
      <c r="J68" s="56">
        <f t="shared" si="16"/>
        <v>1950</v>
      </c>
      <c r="K68" s="56">
        <f>F68-(-1.9)</f>
        <v>3.8499999999999996</v>
      </c>
      <c r="L68" s="135"/>
      <c r="M68" s="40">
        <f>E68-жовтень!E68</f>
        <v>0</v>
      </c>
      <c r="N68" s="40">
        <f>F68-жовтень!F68</f>
        <v>0.1499999999999999</v>
      </c>
      <c r="O68" s="53">
        <f t="shared" si="3"/>
        <v>0.1499999999999999</v>
      </c>
      <c r="P68" s="56"/>
      <c r="Q68" s="56">
        <f>N68-0.2</f>
        <v>-0.0500000000000001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15277</v>
      </c>
      <c r="F74" s="22">
        <f>F77+F86+F88+F89+F94+F95+F96+F97+F99+F104+F87+F103</f>
        <v>11904.400000000001</v>
      </c>
      <c r="G74" s="50">
        <f aca="true" t="shared" si="24" ref="G74:G92">F74-E74</f>
        <v>-3372.5999999999985</v>
      </c>
      <c r="H74" s="51">
        <f aca="true" t="shared" si="25" ref="H74:H87">F74/E74*100</f>
        <v>77.92367611442039</v>
      </c>
      <c r="I74" s="36">
        <f aca="true" t="shared" si="26" ref="I74:I92">F74-D74</f>
        <v>-6453.899999999998</v>
      </c>
      <c r="J74" s="36">
        <f aca="true" t="shared" si="27" ref="J74:J92">F74/D74*100</f>
        <v>64.84478410310324</v>
      </c>
      <c r="K74" s="36">
        <f>F74-17827.8</f>
        <v>-5923.399999999998</v>
      </c>
      <c r="L74" s="136">
        <f>F74/17827.8</f>
        <v>0.6677436363432393</v>
      </c>
      <c r="M74" s="22">
        <f>M77+M86+M88+M89+M94+M95+M96+M97+M99+M87+M104</f>
        <v>1580.5</v>
      </c>
      <c r="N74" s="22">
        <f>N77+N86+N88+N89+N94+N95+N96+N97+N99+N32+N104+N87+N103</f>
        <v>1115.4900000000002</v>
      </c>
      <c r="O74" s="55">
        <f aca="true" t="shared" si="28" ref="O74:O92">N74-M74</f>
        <v>-465.00999999999976</v>
      </c>
      <c r="P74" s="36">
        <f>N74/M74*100</f>
        <v>70.57829800695984</v>
      </c>
      <c r="Q74" s="36">
        <f>N74-1502.5</f>
        <v>-387.00999999999976</v>
      </c>
      <c r="R74" s="136">
        <f>N74/1502.5</f>
        <v>0.7424226289517473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160</v>
      </c>
      <c r="F77" s="169">
        <v>153.52</v>
      </c>
      <c r="G77" s="49">
        <f t="shared" si="24"/>
        <v>-6.47999999999999</v>
      </c>
      <c r="H77" s="40">
        <f t="shared" si="25"/>
        <v>95.95</v>
      </c>
      <c r="I77" s="56">
        <f t="shared" si="26"/>
        <v>-346.48</v>
      </c>
      <c r="J77" s="56">
        <f t="shared" si="27"/>
        <v>30.704000000000004</v>
      </c>
      <c r="K77" s="167">
        <f>F77-1728.8</f>
        <v>-1575.28</v>
      </c>
      <c r="L77" s="168">
        <f>F77/1728.8</f>
        <v>0.08880148079592783</v>
      </c>
      <c r="M77" s="40">
        <f>E77-жовтень!E77</f>
        <v>50</v>
      </c>
      <c r="N77" s="40">
        <f>F77-жовтень!F77</f>
        <v>30.070000000000007</v>
      </c>
      <c r="O77" s="53">
        <f t="shared" si="28"/>
        <v>-19.929999999999993</v>
      </c>
      <c r="P77" s="56">
        <f aca="true" t="shared" si="29" ref="P77:P87">N77/M77*100</f>
        <v>60.140000000000015</v>
      </c>
      <c r="Q77" s="56">
        <f>N77-11.1</f>
        <v>18.970000000000006</v>
      </c>
      <c r="R77" s="135">
        <f>N77/11.1</f>
        <v>2.70900900900901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E78-жовтень!E78</f>
        <v>0</v>
      </c>
      <c r="N78" s="40">
        <f>F78-жовтень!F78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E79-жовтень!E79</f>
        <v>0</v>
      </c>
      <c r="N79" s="40">
        <f>F79-жовтень!F79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E80-жовтень!E80</f>
        <v>0</v>
      </c>
      <c r="N80" s="40">
        <f>F80-жовтень!F80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E81-жовтень!E81</f>
        <v>0</v>
      </c>
      <c r="N81" s="40">
        <f>F81-жовтень!F81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E82-жовтень!E82</f>
        <v>0</v>
      </c>
      <c r="N82" s="40">
        <f>F82-жовтень!F82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E83-жовтень!E83</f>
        <v>0</v>
      </c>
      <c r="N83" s="40">
        <f>F83-жовтень!F83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E84-жовтень!E84</f>
        <v>0</v>
      </c>
      <c r="N84" s="40">
        <f>F84-жовтень!F84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E85-жовтень!E85</f>
        <v>0</v>
      </c>
      <c r="N85" s="40">
        <f>F85-жовтень!F85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3560</v>
      </c>
      <c r="F86" s="169">
        <v>0</v>
      </c>
      <c r="G86" s="49">
        <f t="shared" si="24"/>
        <v>-3560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F86-3572.4</f>
        <v>-3572.4</v>
      </c>
      <c r="L86" s="168"/>
      <c r="M86" s="40">
        <f>E86-жовтень!E86</f>
        <v>480</v>
      </c>
      <c r="N86" s="40">
        <f>F86-жовтень!F86</f>
        <v>0</v>
      </c>
      <c r="O86" s="53">
        <f t="shared" si="28"/>
        <v>-480</v>
      </c>
      <c r="P86" s="56">
        <f t="shared" si="29"/>
        <v>0</v>
      </c>
      <c r="Q86" s="56">
        <f>N86-467.1</f>
        <v>-467.1</v>
      </c>
      <c r="R86" s="135">
        <f>N86/467.1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242.79</v>
      </c>
      <c r="G87" s="49">
        <f t="shared" si="24"/>
        <v>22.789999999999992</v>
      </c>
      <c r="H87" s="40">
        <f t="shared" si="25"/>
        <v>110.35909090909091</v>
      </c>
      <c r="I87" s="56">
        <f t="shared" si="26"/>
        <v>-257.21000000000004</v>
      </c>
      <c r="J87" s="56">
        <f t="shared" si="27"/>
        <v>48.558</v>
      </c>
      <c r="K87" s="56">
        <f>F87-227.9</f>
        <v>14.889999999999986</v>
      </c>
      <c r="L87" s="135">
        <f>F87/227.9</f>
        <v>1.0653356735410267</v>
      </c>
      <c r="M87" s="40">
        <f>E87-жовтень!E87</f>
        <v>0</v>
      </c>
      <c r="N87" s="40">
        <f>F87-жовтень!F87</f>
        <v>-36.81000000000003</v>
      </c>
      <c r="O87" s="53">
        <f t="shared" si="28"/>
        <v>-36.81000000000003</v>
      </c>
      <c r="P87" s="56" t="e">
        <f t="shared" si="29"/>
        <v>#DIV/0!</v>
      </c>
      <c r="Q87" s="56">
        <f>N87-5.7</f>
        <v>-42.51000000000003</v>
      </c>
      <c r="R87" s="135">
        <f>N87/5.7</f>
        <v>-6.4578947368421105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4.5</v>
      </c>
      <c r="F88" s="169">
        <v>5.94</v>
      </c>
      <c r="G88" s="49">
        <f t="shared" si="24"/>
        <v>1.4400000000000004</v>
      </c>
      <c r="H88" s="40">
        <f>F88/E88*100</f>
        <v>132</v>
      </c>
      <c r="I88" s="56">
        <f t="shared" si="26"/>
        <v>0.8400000000000007</v>
      </c>
      <c r="J88" s="56">
        <f t="shared" si="27"/>
        <v>116.47058823529413</v>
      </c>
      <c r="K88" s="56">
        <f>F88-4.9</f>
        <v>1.04</v>
      </c>
      <c r="L88" s="135"/>
      <c r="M88" s="40">
        <f>E88-жовтень!E88</f>
        <v>0.5</v>
      </c>
      <c r="N88" s="40">
        <f>F88-жовтень!F88</f>
        <v>0.34000000000000075</v>
      </c>
      <c r="O88" s="53">
        <f t="shared" si="28"/>
        <v>-0.15999999999999925</v>
      </c>
      <c r="P88" s="56">
        <f>N88/M88*100</f>
        <v>68.00000000000014</v>
      </c>
      <c r="Q88" s="56">
        <f>N88-0.5</f>
        <v>-0.15999999999999925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159</v>
      </c>
      <c r="F89" s="169">
        <v>121.56</v>
      </c>
      <c r="G89" s="49">
        <f t="shared" si="24"/>
        <v>-37.44</v>
      </c>
      <c r="H89" s="40">
        <f>F89/E89*100</f>
        <v>76.45283018867924</v>
      </c>
      <c r="I89" s="56">
        <f t="shared" si="26"/>
        <v>-53.44</v>
      </c>
      <c r="J89" s="56">
        <f t="shared" si="27"/>
        <v>69.46285714285715</v>
      </c>
      <c r="K89" s="56">
        <f>F89-147.9</f>
        <v>-26.340000000000003</v>
      </c>
      <c r="L89" s="135">
        <f>F89/147.9</f>
        <v>0.8219066937119676</v>
      </c>
      <c r="M89" s="40">
        <f>E89-жовтень!E89</f>
        <v>15</v>
      </c>
      <c r="N89" s="40">
        <f>F89-жовтень!F89</f>
        <v>9.11</v>
      </c>
      <c r="O89" s="53">
        <f t="shared" si="28"/>
        <v>-5.890000000000001</v>
      </c>
      <c r="P89" s="56">
        <f>N89/M89*100</f>
        <v>60.73333333333333</v>
      </c>
      <c r="Q89" s="56">
        <f>N89-10.4</f>
        <v>-1.290000000000001</v>
      </c>
      <c r="R89" s="135">
        <f>N89/10.4</f>
        <v>0.8759615384615383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E90-жовтень!E90</f>
        <v>0</v>
      </c>
      <c r="N90" s="40">
        <f>F90-жовтень!F90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E91-жовтень!E91</f>
        <v>0</v>
      </c>
      <c r="N91" s="40">
        <f>F91-жовтень!F91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E92-жовтень!E92</f>
        <v>0</v>
      </c>
      <c r="N92" s="40">
        <f>F92-жовтень!F92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E93-жовтень!E93</f>
        <v>0</v>
      </c>
      <c r="N93" s="40">
        <f>F93-жовтень!F93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E94-жовтень!E94</f>
        <v>0</v>
      </c>
      <c r="N94" s="40">
        <f>F94-жовтень!F94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6406.5</v>
      </c>
      <c r="F95" s="169">
        <v>6573.91</v>
      </c>
      <c r="G95" s="49">
        <f t="shared" si="31"/>
        <v>167.40999999999985</v>
      </c>
      <c r="H95" s="40">
        <f>F95/E95*100</f>
        <v>102.61312729259346</v>
      </c>
      <c r="I95" s="56">
        <f t="shared" si="32"/>
        <v>-426.09000000000015</v>
      </c>
      <c r="J95" s="56">
        <f>F95/D95*100</f>
        <v>93.913</v>
      </c>
      <c r="K95" s="56">
        <f>F95-6761</f>
        <v>-187.09000000000015</v>
      </c>
      <c r="L95" s="135">
        <f>F95/6761</f>
        <v>0.9723280579795888</v>
      </c>
      <c r="M95" s="40">
        <f>E95-жовтень!E95</f>
        <v>575</v>
      </c>
      <c r="N95" s="40">
        <f>F95-жовтень!F95</f>
        <v>636.7600000000002</v>
      </c>
      <c r="O95" s="53">
        <f t="shared" si="33"/>
        <v>61.76000000000022</v>
      </c>
      <c r="P95" s="56">
        <f>N95/M95*100</f>
        <v>110.74086956521742</v>
      </c>
      <c r="Q95" s="56">
        <f>N95-591</f>
        <v>45.76000000000022</v>
      </c>
      <c r="R95" s="135">
        <f>N95/591</f>
        <v>1.077428087986464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1014.5</v>
      </c>
      <c r="F96" s="169">
        <v>975.44</v>
      </c>
      <c r="G96" s="49">
        <f t="shared" si="31"/>
        <v>-39.059999999999945</v>
      </c>
      <c r="H96" s="40">
        <f>F96/E96*100</f>
        <v>96.14982750123214</v>
      </c>
      <c r="I96" s="56">
        <f t="shared" si="32"/>
        <v>-224.55999999999995</v>
      </c>
      <c r="J96" s="56">
        <f>F96/D96*100</f>
        <v>81.28666666666668</v>
      </c>
      <c r="K96" s="56">
        <f>F96-1013.8</f>
        <v>-38.3599999999999</v>
      </c>
      <c r="L96" s="135">
        <f>F96/1013.8</f>
        <v>0.9621621621621622</v>
      </c>
      <c r="M96" s="40">
        <f>E96-жовтень!E96</f>
        <v>110</v>
      </c>
      <c r="N96" s="40">
        <f>F96-жовтень!F96</f>
        <v>110.2700000000001</v>
      </c>
      <c r="O96" s="53">
        <f t="shared" si="33"/>
        <v>0.2700000000000955</v>
      </c>
      <c r="P96" s="56">
        <f>N96/M96*100</f>
        <v>100.24545454545463</v>
      </c>
      <c r="Q96" s="56">
        <f>N96-83.7</f>
        <v>26.570000000000093</v>
      </c>
      <c r="R96" s="135">
        <f>N96/83.7</f>
        <v>1.3174432497013153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20</v>
      </c>
      <c r="F97" s="169">
        <v>0.53</v>
      </c>
      <c r="G97" s="49">
        <f t="shared" si="31"/>
        <v>-19.47</v>
      </c>
      <c r="H97" s="40"/>
      <c r="I97" s="56">
        <f t="shared" si="32"/>
        <v>-39.47</v>
      </c>
      <c r="J97" s="56"/>
      <c r="K97" s="56">
        <f>F97-40.5</f>
        <v>-39.97</v>
      </c>
      <c r="L97" s="135">
        <f>F97/40.5</f>
        <v>0.01308641975308642</v>
      </c>
      <c r="M97" s="40">
        <f>E97-жовтень!E97</f>
        <v>20</v>
      </c>
      <c r="N97" s="40">
        <f>F97-жовтень!F97</f>
        <v>0</v>
      </c>
      <c r="O97" s="53">
        <f t="shared" si="33"/>
        <v>-20</v>
      </c>
      <c r="P97" s="56"/>
      <c r="Q97" s="56">
        <f>N97-0.1</f>
        <v>-0.1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E98-жовтень!E98</f>
        <v>0</v>
      </c>
      <c r="N98" s="40">
        <f>F98-жовтень!F98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3667</v>
      </c>
      <c r="F99" s="169">
        <v>3812.69</v>
      </c>
      <c r="G99" s="49">
        <f t="shared" si="31"/>
        <v>145.69000000000005</v>
      </c>
      <c r="H99" s="40">
        <f>F99/E99*100</f>
        <v>103.97300245432233</v>
      </c>
      <c r="I99" s="56">
        <f t="shared" si="32"/>
        <v>-760.0099999999998</v>
      </c>
      <c r="J99" s="56">
        <f>F99/D99*100</f>
        <v>83.3794038533033</v>
      </c>
      <c r="K99" s="56">
        <f>F99-4178.8</f>
        <v>-366.1100000000001</v>
      </c>
      <c r="L99" s="135">
        <f>F99/4178.8</f>
        <v>0.9123887240356083</v>
      </c>
      <c r="M99" s="40">
        <f>E99-жовтень!E99</f>
        <v>330</v>
      </c>
      <c r="N99" s="40">
        <f>F99-жовтень!F99</f>
        <v>365.75</v>
      </c>
      <c r="O99" s="53">
        <f t="shared" si="33"/>
        <v>35.75</v>
      </c>
      <c r="P99" s="56">
        <f>N99/M99*100</f>
        <v>110.83333333333334</v>
      </c>
      <c r="Q99" s="56">
        <f>N99-332.8</f>
        <v>32.94999999999999</v>
      </c>
      <c r="R99" s="135">
        <f>N99/332.8</f>
        <v>1.0990084134615383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E100-жовтень!E100</f>
        <v>0</v>
      </c>
      <c r="N100" s="40">
        <f>F100-жовтень!F100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E101-жовтень!E101</f>
        <v>0</v>
      </c>
      <c r="N101" s="40">
        <f>F101-жовтень!F101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926.9</v>
      </c>
      <c r="G102" s="144"/>
      <c r="H102" s="146"/>
      <c r="I102" s="145"/>
      <c r="J102" s="145"/>
      <c r="K102" s="148">
        <f>F102-738.2</f>
        <v>188.69999999999993</v>
      </c>
      <c r="L102" s="149">
        <f>F102/738.2</f>
        <v>1.2556217827147114</v>
      </c>
      <c r="M102" s="40">
        <f>E102-жовтень!E102</f>
        <v>0</v>
      </c>
      <c r="N102" s="40">
        <f>F102-жовтень!F102</f>
        <v>88.39999999999998</v>
      </c>
      <c r="O102" s="53"/>
      <c r="P102" s="60"/>
      <c r="Q102" s="60">
        <f>N102-89.7</f>
        <v>-1.3000000000000256</v>
      </c>
      <c r="R102" s="138">
        <f>N102/89.7</f>
        <v>0.9855072463768113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E103-жовтень!E103</f>
        <v>0</v>
      </c>
      <c r="N103" s="40">
        <f>F103-жовтень!F103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-41.65</v>
      </c>
      <c r="K104" s="56">
        <f>F104-63.9</f>
        <v>-50.62</v>
      </c>
      <c r="L104" s="135">
        <f>F104/63.9</f>
        <v>0.20782472613458527</v>
      </c>
      <c r="M104" s="40">
        <f>E104-жовтень!E104</f>
        <v>0</v>
      </c>
      <c r="N104" s="40">
        <f>F104-жовтень!F104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30.2</v>
      </c>
      <c r="F105" s="169">
        <v>23.85</v>
      </c>
      <c r="G105" s="49">
        <f>F105-E105</f>
        <v>-6.349999999999998</v>
      </c>
      <c r="H105" s="40">
        <f>F105/E105*100</f>
        <v>78.97350993377485</v>
      </c>
      <c r="I105" s="56">
        <f t="shared" si="34"/>
        <v>-21.15</v>
      </c>
      <c r="J105" s="56">
        <f aca="true" t="shared" si="36" ref="J105:J110">F105/D105*100</f>
        <v>53</v>
      </c>
      <c r="K105" s="56">
        <f>F105-35.8</f>
        <v>-11.949999999999996</v>
      </c>
      <c r="L105" s="135">
        <f>F105/35.8</f>
        <v>0.6662011173184359</v>
      </c>
      <c r="M105" s="40">
        <f>E105-жовтень!E105</f>
        <v>3</v>
      </c>
      <c r="N105" s="40">
        <f>F105-жовтень!F105</f>
        <v>2.1400000000000006</v>
      </c>
      <c r="O105" s="53">
        <f t="shared" si="35"/>
        <v>-0.8599999999999994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E106-жовтень!E106</f>
        <v>0</v>
      </c>
      <c r="N106" s="40">
        <f>F106-жовтень!F106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446565.23</v>
      </c>
      <c r="F107" s="22">
        <f>F8+F74+F105+F106</f>
        <v>440643.68000000005</v>
      </c>
      <c r="G107" s="175">
        <f>F107-E107</f>
        <v>-5921.54999999993</v>
      </c>
      <c r="H107" s="51">
        <f>F107/E107*100</f>
        <v>98.67397871527079</v>
      </c>
      <c r="I107" s="36">
        <f t="shared" si="34"/>
        <v>-66235.91999999993</v>
      </c>
      <c r="J107" s="36">
        <f t="shared" si="36"/>
        <v>86.9326127940442</v>
      </c>
      <c r="K107" s="36">
        <f>F107-438950.2</f>
        <v>1693.4800000000396</v>
      </c>
      <c r="L107" s="136">
        <f>F107/438950.2</f>
        <v>1.0038580230741438</v>
      </c>
      <c r="M107" s="22">
        <f>M8+M74+M105+M106</f>
        <v>41837.89000000002</v>
      </c>
      <c r="N107" s="152">
        <f>N8+N74+N105+N106</f>
        <v>41073.44000000002</v>
      </c>
      <c r="O107" s="55">
        <f t="shared" si="35"/>
        <v>-764.4500000000044</v>
      </c>
      <c r="P107" s="36">
        <f>N107/M107*100</f>
        <v>98.17282850545283</v>
      </c>
      <c r="Q107" s="36">
        <f>N107-41056.6</f>
        <v>16.840000000018335</v>
      </c>
      <c r="R107" s="136">
        <f>N107/41056.6</f>
        <v>1.000410165478876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353022.5</v>
      </c>
      <c r="F108" s="71">
        <f>F10-F18+F96</f>
        <v>350172.82</v>
      </c>
      <c r="G108" s="153">
        <f>G10-G18+G96</f>
        <v>-2849.6799999999953</v>
      </c>
      <c r="H108" s="72">
        <f>F108/E108*100</f>
        <v>99.19277666437691</v>
      </c>
      <c r="I108" s="52">
        <f t="shared" si="34"/>
        <v>-38040.380000000005</v>
      </c>
      <c r="J108" s="52">
        <f t="shared" si="36"/>
        <v>90.20116266010533</v>
      </c>
      <c r="K108" s="52">
        <f>F108-335439.2</f>
        <v>14733.619999999995</v>
      </c>
      <c r="L108" s="137">
        <f>F108/335439.2</f>
        <v>1.0439233697194603</v>
      </c>
      <c r="M108" s="71">
        <f>M10-M18+M96</f>
        <v>32411.900000000023</v>
      </c>
      <c r="N108" s="153">
        <f>N10-N18+N96</f>
        <v>33285.46</v>
      </c>
      <c r="O108" s="53">
        <f t="shared" si="35"/>
        <v>873.5599999999758</v>
      </c>
      <c r="P108" s="52">
        <f>N108/M108*100</f>
        <v>102.6951829420675</v>
      </c>
      <c r="Q108" s="52">
        <f>N108-32327.7</f>
        <v>957.7599999999984</v>
      </c>
      <c r="R108" s="137">
        <f>N108/32327.7</f>
        <v>1.0296266050476834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93542.72999999998</v>
      </c>
      <c r="F109" s="71">
        <f>F107-F108</f>
        <v>90470.86000000004</v>
      </c>
      <c r="G109" s="176">
        <f>F109-E109</f>
        <v>-3071.869999999937</v>
      </c>
      <c r="H109" s="72">
        <f>F109/E109*100</f>
        <v>96.71607830988049</v>
      </c>
      <c r="I109" s="52">
        <f t="shared" si="34"/>
        <v>-28195.53999999992</v>
      </c>
      <c r="J109" s="52">
        <f t="shared" si="36"/>
        <v>76.23966008912384</v>
      </c>
      <c r="K109" s="52">
        <f>F109-103511.1</f>
        <v>-13040.239999999962</v>
      </c>
      <c r="L109" s="137">
        <f>F109/103511.1</f>
        <v>0.874020853802153</v>
      </c>
      <c r="M109" s="71">
        <f>M107-M108</f>
        <v>9425.989999999998</v>
      </c>
      <c r="N109" s="153">
        <f>N107-N108</f>
        <v>7787.980000000018</v>
      </c>
      <c r="O109" s="53">
        <f t="shared" si="35"/>
        <v>-1638.0099999999802</v>
      </c>
      <c r="P109" s="52">
        <f>N109/M109*100</f>
        <v>82.6224088928592</v>
      </c>
      <c r="Q109" s="52">
        <f>N109-8729</f>
        <v>-941.0199999999822</v>
      </c>
      <c r="R109" s="137">
        <f>N109/8729</f>
        <v>0.8921961278496985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348682.6</v>
      </c>
      <c r="F110" s="71">
        <f>F108</f>
        <v>350172.82</v>
      </c>
      <c r="G110" s="111">
        <f>F110-E110</f>
        <v>1490.2200000000303</v>
      </c>
      <c r="H110" s="72">
        <f>F110/E110*100</f>
        <v>100.42738582309528</v>
      </c>
      <c r="I110" s="81">
        <f t="shared" si="34"/>
        <v>-38040.380000000005</v>
      </c>
      <c r="J110" s="52">
        <f t="shared" si="36"/>
        <v>90.20116266010533</v>
      </c>
      <c r="K110" s="52"/>
      <c r="L110" s="137"/>
      <c r="M110" s="72">
        <f>E110-жовтень!E110</f>
        <v>33441.899999999965</v>
      </c>
      <c r="N110" s="71">
        <f>N108</f>
        <v>33285.46</v>
      </c>
      <c r="O110" s="63">
        <f t="shared" si="35"/>
        <v>-156.43999999996595</v>
      </c>
      <c r="P110" s="52">
        <f>N110/M110*100</f>
        <v>99.5322036128331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295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0.55</v>
      </c>
      <c r="G114" s="49">
        <f aca="true" t="shared" si="37" ref="G114:G126">F114-E114</f>
        <v>0.55</v>
      </c>
      <c r="H114" s="40"/>
      <c r="I114" s="60">
        <f aca="true" t="shared" si="38" ref="I114:I125">F114-D114</f>
        <v>0.55</v>
      </c>
      <c r="J114" s="60"/>
      <c r="K114" s="60">
        <f>F114-20.7</f>
        <v>-20.15</v>
      </c>
      <c r="L114" s="138">
        <f>F114/20.7</f>
        <v>0.026570048309178747</v>
      </c>
      <c r="M114" s="40">
        <f>E114-жовтень!E114</f>
        <v>0</v>
      </c>
      <c r="N114" s="40">
        <f>F114-жовтень!F114</f>
        <v>0.5900000000000001</v>
      </c>
      <c r="O114" s="53"/>
      <c r="P114" s="60"/>
      <c r="Q114" s="60">
        <f>N114-(-0.8)</f>
        <v>1.3900000000000001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3334.4</v>
      </c>
      <c r="F115" s="174">
        <v>1484.81</v>
      </c>
      <c r="G115" s="49">
        <f t="shared" si="37"/>
        <v>-1849.5900000000001</v>
      </c>
      <c r="H115" s="40">
        <f aca="true" t="shared" si="39" ref="H115:H126">F115/E115*100</f>
        <v>44.53005038387715</v>
      </c>
      <c r="I115" s="60">
        <f t="shared" si="38"/>
        <v>-2186.69</v>
      </c>
      <c r="J115" s="60">
        <f aca="true" t="shared" si="40" ref="J115:J121">F115/D115*100</f>
        <v>40.441508920059924</v>
      </c>
      <c r="K115" s="60">
        <f>F115-3211.4</f>
        <v>-1726.5900000000001</v>
      </c>
      <c r="L115" s="138">
        <f>F115/3211.4</f>
        <v>0.4623559818147848</v>
      </c>
      <c r="M115" s="40">
        <f>E115-жовтень!E115</f>
        <v>327.4000000000001</v>
      </c>
      <c r="N115" s="40">
        <f>F115-жовтень!F115</f>
        <v>166.26</v>
      </c>
      <c r="O115" s="53">
        <f aca="true" t="shared" si="41" ref="O115:O126">N115-M115</f>
        <v>-161.1400000000001</v>
      </c>
      <c r="P115" s="60">
        <f>N115/M115*100</f>
        <v>50.78191814294439</v>
      </c>
      <c r="Q115" s="60">
        <f>N115-83.3</f>
        <v>82.96</v>
      </c>
      <c r="R115" s="138">
        <f>N115/83.3</f>
        <v>1.9959183673469387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244.5</v>
      </c>
      <c r="F116" s="172">
        <v>284.81</v>
      </c>
      <c r="G116" s="49">
        <f t="shared" si="37"/>
        <v>40.31</v>
      </c>
      <c r="H116" s="40">
        <f t="shared" si="39"/>
        <v>116.48670756646217</v>
      </c>
      <c r="I116" s="60">
        <f t="shared" si="38"/>
        <v>16.70999999999998</v>
      </c>
      <c r="J116" s="60">
        <f t="shared" si="40"/>
        <v>106.23274897426333</v>
      </c>
      <c r="K116" s="60">
        <f>F116-245.6</f>
        <v>39.21000000000001</v>
      </c>
      <c r="L116" s="138">
        <f>F116/245.6</f>
        <v>1.1596498371335506</v>
      </c>
      <c r="M116" s="40">
        <f>E116-жовтень!E116</f>
        <v>22</v>
      </c>
      <c r="N116" s="40">
        <f>F116-жовтень!F116</f>
        <v>21.560000000000002</v>
      </c>
      <c r="O116" s="53">
        <f t="shared" si="41"/>
        <v>-0.4399999999999977</v>
      </c>
      <c r="P116" s="60">
        <f>N116/M116*100</f>
        <v>98.00000000000001</v>
      </c>
      <c r="Q116" s="60">
        <f>N116-24.1</f>
        <v>-2.539999999999999</v>
      </c>
      <c r="R116" s="138">
        <f>N116/24.1</f>
        <v>0.8946058091286307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3578.9</v>
      </c>
      <c r="F117" s="173">
        <f>SUM(F114:F116)</f>
        <v>1770.1699999999998</v>
      </c>
      <c r="G117" s="62">
        <f t="shared" si="37"/>
        <v>-1808.7300000000002</v>
      </c>
      <c r="H117" s="72">
        <f t="shared" si="39"/>
        <v>49.46128698762189</v>
      </c>
      <c r="I117" s="61">
        <f t="shared" si="38"/>
        <v>-2169.4300000000003</v>
      </c>
      <c r="J117" s="61">
        <f t="shared" si="40"/>
        <v>44.93273428774495</v>
      </c>
      <c r="K117" s="61">
        <f>F117-3477.6</f>
        <v>-1707.43</v>
      </c>
      <c r="L117" s="139">
        <f>F117/3477.6</f>
        <v>0.5090205889118933</v>
      </c>
      <c r="M117" s="62">
        <f>M115+M116+M114</f>
        <v>349.4000000000001</v>
      </c>
      <c r="N117" s="38">
        <f>SUM(N114:N116)</f>
        <v>188.41</v>
      </c>
      <c r="O117" s="61">
        <f t="shared" si="41"/>
        <v>-160.9900000000001</v>
      </c>
      <c r="P117" s="61">
        <f>N117/M117*100</f>
        <v>53.92386949055522</v>
      </c>
      <c r="Q117" s="61">
        <f>N117-106.6</f>
        <v>81.81</v>
      </c>
      <c r="R117" s="139">
        <f>N117/106.6</f>
        <v>1.7674484052532833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454.67</v>
      </c>
      <c r="G119" s="49">
        <f t="shared" si="37"/>
        <v>194.17000000000002</v>
      </c>
      <c r="H119" s="40">
        <f t="shared" si="39"/>
        <v>174.53742802303262</v>
      </c>
      <c r="I119" s="60">
        <f t="shared" si="38"/>
        <v>187.47000000000003</v>
      </c>
      <c r="J119" s="60">
        <f t="shared" si="40"/>
        <v>170.1609281437126</v>
      </c>
      <c r="K119" s="60">
        <f>F119-237.7</f>
        <v>216.97000000000003</v>
      </c>
      <c r="L119" s="138">
        <f>F119/237.7</f>
        <v>1.9127892301220026</v>
      </c>
      <c r="M119" s="40">
        <f>E119-жовтень!E119</f>
        <v>0</v>
      </c>
      <c r="N119" s="40">
        <f>F119-жовтень!F119</f>
        <v>17.670000000000016</v>
      </c>
      <c r="O119" s="53">
        <f>N119-M119</f>
        <v>17.670000000000016</v>
      </c>
      <c r="P119" s="60" t="e">
        <f>N119/M119*100</f>
        <v>#DIV/0!</v>
      </c>
      <c r="Q119" s="60">
        <f>N119-3.5</f>
        <v>14.170000000000016</v>
      </c>
      <c r="R119" s="138">
        <f>N119/3.5</f>
        <v>5.048571428571433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68712.6</v>
      </c>
      <c r="F120" s="174">
        <v>79317.8</v>
      </c>
      <c r="G120" s="49">
        <f t="shared" si="37"/>
        <v>10605.199999999997</v>
      </c>
      <c r="H120" s="40">
        <f t="shared" si="39"/>
        <v>115.43414162759088</v>
      </c>
      <c r="I120" s="53">
        <f t="shared" si="38"/>
        <v>7341.809999999998</v>
      </c>
      <c r="J120" s="60">
        <f t="shared" si="40"/>
        <v>110.20035987000665</v>
      </c>
      <c r="K120" s="60">
        <f>F120-66794.9</f>
        <v>12522.900000000009</v>
      </c>
      <c r="L120" s="138">
        <f>F120/66794.9</f>
        <v>1.1874828766866934</v>
      </c>
      <c r="M120" s="40">
        <f>E120-жовтень!E120</f>
        <v>8700.000000000007</v>
      </c>
      <c r="N120" s="40">
        <f>F120-жовтень!F120</f>
        <v>11460.520000000004</v>
      </c>
      <c r="O120" s="53">
        <f t="shared" si="41"/>
        <v>2760.519999999997</v>
      </c>
      <c r="P120" s="60">
        <f aca="true" t="shared" si="42" ref="P120:P125">N120/M120*100</f>
        <v>131.73011494252867</v>
      </c>
      <c r="Q120" s="60">
        <f>N120-8604.8</f>
        <v>2855.720000000005</v>
      </c>
      <c r="R120" s="138">
        <f>N120/8604.8</f>
        <v>1.3318752324284127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3361.19</v>
      </c>
      <c r="F121" s="174">
        <v>1921.61</v>
      </c>
      <c r="G121" s="49">
        <f t="shared" si="37"/>
        <v>-1439.5800000000002</v>
      </c>
      <c r="H121" s="40">
        <f t="shared" si="39"/>
        <v>57.17052591492894</v>
      </c>
      <c r="I121" s="60">
        <f t="shared" si="38"/>
        <v>-2828.3900000000003</v>
      </c>
      <c r="J121" s="60">
        <f t="shared" si="40"/>
        <v>40.45494736842105</v>
      </c>
      <c r="K121" s="60">
        <f>F121-1790.1</f>
        <v>131.51</v>
      </c>
      <c r="L121" s="138">
        <f>F121/1790.1</f>
        <v>1.0734651695436008</v>
      </c>
      <c r="M121" s="40">
        <f>E121-жовтень!E121</f>
        <v>161.78999999999996</v>
      </c>
      <c r="N121" s="40">
        <f>F121-жовтень!F121</f>
        <v>166.81999999999994</v>
      </c>
      <c r="O121" s="53">
        <f t="shared" si="41"/>
        <v>5.029999999999973</v>
      </c>
      <c r="P121" s="60">
        <f t="shared" si="42"/>
        <v>103.10896841584768</v>
      </c>
      <c r="Q121" s="60">
        <f>N121-500.5</f>
        <v>-333.68000000000006</v>
      </c>
      <c r="R121" s="138">
        <f>N121/500.5</f>
        <v>0.33330669330669316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20309.73</v>
      </c>
      <c r="F122" s="174">
        <v>3828.89</v>
      </c>
      <c r="G122" s="49">
        <f t="shared" si="37"/>
        <v>-16480.84</v>
      </c>
      <c r="H122" s="40">
        <f t="shared" si="39"/>
        <v>18.852490899682074</v>
      </c>
      <c r="I122" s="60">
        <f t="shared" si="38"/>
        <v>-19248.24</v>
      </c>
      <c r="J122" s="60">
        <f>F122/D122*100</f>
        <v>16.591707894352545</v>
      </c>
      <c r="K122" s="60">
        <f>F122-23492</f>
        <v>-19663.11</v>
      </c>
      <c r="L122" s="138">
        <f>F122/23492</f>
        <v>0.1629869742891197</v>
      </c>
      <c r="M122" s="40">
        <f>E122-жовтень!E122</f>
        <v>2733.5</v>
      </c>
      <c r="N122" s="40">
        <f>F122-жовтень!F122</f>
        <v>1066.79</v>
      </c>
      <c r="O122" s="53">
        <f t="shared" si="41"/>
        <v>-1666.71</v>
      </c>
      <c r="P122" s="60">
        <f t="shared" si="42"/>
        <v>39.026522773001645</v>
      </c>
      <c r="Q122" s="60">
        <f>N122-826.2</f>
        <v>240.58999999999992</v>
      </c>
      <c r="R122" s="138">
        <f>N122/826.2</f>
        <v>1.2912006778019849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1810.4</v>
      </c>
      <c r="F123" s="174">
        <v>2012.55</v>
      </c>
      <c r="G123" s="49">
        <f t="shared" si="37"/>
        <v>202.14999999999986</v>
      </c>
      <c r="H123" s="40">
        <f t="shared" si="39"/>
        <v>111.1660406539991</v>
      </c>
      <c r="I123" s="60">
        <f t="shared" si="38"/>
        <v>12.549999999999955</v>
      </c>
      <c r="J123" s="60">
        <f>F123/D123*100</f>
        <v>100.6275</v>
      </c>
      <c r="K123" s="60">
        <f>F123-1731.9</f>
        <v>280.64999999999986</v>
      </c>
      <c r="L123" s="138">
        <f>F123/1731.9</f>
        <v>1.1620474623246144</v>
      </c>
      <c r="M123" s="40">
        <f>E123-жовтень!E123</f>
        <v>189.59000000000015</v>
      </c>
      <c r="N123" s="40">
        <f>F123-жовтень!F123</f>
        <v>878.53</v>
      </c>
      <c r="O123" s="53">
        <f t="shared" si="41"/>
        <v>688.9399999999998</v>
      </c>
      <c r="P123" s="60">
        <f t="shared" si="42"/>
        <v>463.3841447333716</v>
      </c>
      <c r="Q123" s="60">
        <f>N123-9.2</f>
        <v>869.3299999999999</v>
      </c>
      <c r="R123" s="138">
        <f>N123/9.2</f>
        <v>95.49239130434783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94454.42</v>
      </c>
      <c r="F124" s="173">
        <f>F120+F121+F122+F123+F119</f>
        <v>87535.52</v>
      </c>
      <c r="G124" s="62">
        <f t="shared" si="37"/>
        <v>-6918.899999999994</v>
      </c>
      <c r="H124" s="72">
        <f t="shared" si="39"/>
        <v>92.67487958742429</v>
      </c>
      <c r="I124" s="61">
        <f t="shared" si="38"/>
        <v>-14534.800000000003</v>
      </c>
      <c r="J124" s="61">
        <f>F124/D124*100</f>
        <v>85.76001329279657</v>
      </c>
      <c r="K124" s="61">
        <f>F124-94046.5</f>
        <v>-6510.979999999996</v>
      </c>
      <c r="L124" s="139">
        <f>F124/94046.5</f>
        <v>0.9307685028150968</v>
      </c>
      <c r="M124" s="62">
        <f>M120+M121+M122+M123+M119</f>
        <v>11784.880000000008</v>
      </c>
      <c r="N124" s="62">
        <f>N120+N121+N122+N123+N119</f>
        <v>13590.330000000005</v>
      </c>
      <c r="O124" s="61">
        <f t="shared" si="41"/>
        <v>1805.449999999997</v>
      </c>
      <c r="P124" s="61">
        <f t="shared" si="42"/>
        <v>115.32005417110736</v>
      </c>
      <c r="Q124" s="61">
        <f>N124-9944.1</f>
        <v>3646.230000000005</v>
      </c>
      <c r="R124" s="139">
        <f>N124/9944.1</f>
        <v>1.3666727003952097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35.16</v>
      </c>
      <c r="F125" s="174">
        <v>35.01</v>
      </c>
      <c r="G125" s="49">
        <f t="shared" si="37"/>
        <v>-0.14999999999999858</v>
      </c>
      <c r="H125" s="40">
        <f t="shared" si="39"/>
        <v>99.57337883959045</v>
      </c>
      <c r="I125" s="60">
        <f t="shared" si="38"/>
        <v>-8.490000000000002</v>
      </c>
      <c r="J125" s="60">
        <f>F125/D125*100</f>
        <v>80.48275862068965</v>
      </c>
      <c r="K125" s="60">
        <f>F125-114.2</f>
        <v>-79.19</v>
      </c>
      <c r="L125" s="138">
        <f>F125/114.2</f>
        <v>0.3065674255691769</v>
      </c>
      <c r="M125" s="40">
        <f>E125-жовтень!E125</f>
        <v>3.9999999999999964</v>
      </c>
      <c r="N125" s="40">
        <f>F125-жовтень!F125</f>
        <v>0</v>
      </c>
      <c r="O125" s="53">
        <f t="shared" si="41"/>
        <v>-3.9999999999999964</v>
      </c>
      <c r="P125" s="60">
        <f t="shared" si="42"/>
        <v>0</v>
      </c>
      <c r="Q125" s="60">
        <f>N125-0.2</f>
        <v>-0.2</v>
      </c>
      <c r="R125" s="138">
        <f>N125/0.2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E126-жовтень!E126</f>
        <v>0</v>
      </c>
      <c r="N126" s="40">
        <f>F126-жовтень!F126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F127-17.9</f>
        <v>1.5800000000000018</v>
      </c>
      <c r="L127" s="138">
        <f>F127/17.9</f>
        <v>1.088268156424581</v>
      </c>
      <c r="M127" s="40">
        <f>E127-жовтень!E127</f>
        <v>0</v>
      </c>
      <c r="N127" s="40">
        <f>F127-жовтень!F127</f>
        <v>0</v>
      </c>
      <c r="O127" s="53"/>
      <c r="P127" s="63"/>
      <c r="Q127" s="53">
        <f>N127-0.7</f>
        <v>-0.7</v>
      </c>
      <c r="R127" s="162">
        <f>N127/0.7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8699</v>
      </c>
      <c r="F128" s="174">
        <v>8358.77</v>
      </c>
      <c r="G128" s="49">
        <f aca="true" t="shared" si="43" ref="G128:G135">F128-E128</f>
        <v>-340.22999999999956</v>
      </c>
      <c r="H128" s="40">
        <f>F128/E128*100</f>
        <v>96.08886078859639</v>
      </c>
      <c r="I128" s="60">
        <f aca="true" t="shared" si="44" ref="I128:I135">F128-D128</f>
        <v>-341.22999999999956</v>
      </c>
      <c r="J128" s="60">
        <f>F128/D128*100</f>
        <v>96.07781609195402</v>
      </c>
      <c r="K128" s="60">
        <f>F128-10826.4</f>
        <v>-2467.629999999999</v>
      </c>
      <c r="L128" s="138">
        <f>F128/10826.4</f>
        <v>0.7720728958841352</v>
      </c>
      <c r="M128" s="40">
        <f>E128-жовтень!E128</f>
        <v>1978.5</v>
      </c>
      <c r="N128" s="40">
        <f>F128-жовтень!F128</f>
        <v>979.8100000000004</v>
      </c>
      <c r="O128" s="53">
        <f aca="true" t="shared" si="45" ref="O128:O135">N128-M128</f>
        <v>-998.6899999999996</v>
      </c>
      <c r="P128" s="60">
        <f>N128/M128*100</f>
        <v>49.522870861763984</v>
      </c>
      <c r="Q128" s="60">
        <f>N128-2097.7</f>
        <v>-1117.8899999999994</v>
      </c>
      <c r="R128" s="162">
        <f>N128/2097.7</f>
        <v>0.46708776278781544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1.47</v>
      </c>
      <c r="G129" s="49">
        <f t="shared" si="43"/>
        <v>1.47</v>
      </c>
      <c r="H129" s="40"/>
      <c r="I129" s="60">
        <f t="shared" si="44"/>
        <v>1.47</v>
      </c>
      <c r="J129" s="60"/>
      <c r="K129" s="60">
        <f>F129-0.8</f>
        <v>0.6699999999999999</v>
      </c>
      <c r="L129" s="138">
        <f>F129/0.8</f>
        <v>1.8375</v>
      </c>
      <c r="M129" s="40">
        <f>E129-жовтень!E129</f>
        <v>0</v>
      </c>
      <c r="N129" s="40">
        <f>F129-жовтень!F129</f>
        <v>0.17999999999999994</v>
      </c>
      <c r="O129" s="53">
        <f t="shared" si="45"/>
        <v>0.17999999999999994</v>
      </c>
      <c r="P129" s="60"/>
      <c r="Q129" s="60">
        <f>N129-(-0.3)</f>
        <v>0.4799999999999999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8741.36</v>
      </c>
      <c r="F130" s="173">
        <f>F128+F125+F129+F127</f>
        <v>8414.73</v>
      </c>
      <c r="G130" s="62">
        <f t="shared" si="43"/>
        <v>-326.630000000001</v>
      </c>
      <c r="H130" s="72">
        <f>F130/E130*100</f>
        <v>96.26339608481975</v>
      </c>
      <c r="I130" s="61">
        <f t="shared" si="44"/>
        <v>-335.97000000000116</v>
      </c>
      <c r="J130" s="61">
        <f>F130/D130*100</f>
        <v>96.16065000514243</v>
      </c>
      <c r="K130" s="61">
        <f>F130-10959.2</f>
        <v>-2544.470000000001</v>
      </c>
      <c r="L130" s="139">
        <f>G130/10959.2</f>
        <v>-0.02980418278706484</v>
      </c>
      <c r="M130" s="62">
        <f>M125+M128+M129+M127</f>
        <v>1982.5</v>
      </c>
      <c r="N130" s="62">
        <f>N125+N128+N129+N127</f>
        <v>979.9900000000004</v>
      </c>
      <c r="O130" s="61">
        <f t="shared" si="45"/>
        <v>-1002.5099999999996</v>
      </c>
      <c r="P130" s="61">
        <f>N130/M130*100</f>
        <v>49.432030264817165</v>
      </c>
      <c r="Q130" s="61">
        <f>N130-2098.3</f>
        <v>-1118.31</v>
      </c>
      <c r="R130" s="137">
        <f>N130/2098.3</f>
        <v>0.46703998474955927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24.25</v>
      </c>
      <c r="F131" s="174">
        <v>34.05</v>
      </c>
      <c r="G131" s="49">
        <f>F131-E131</f>
        <v>9.799999999999997</v>
      </c>
      <c r="H131" s="40">
        <f>F131/E131*100</f>
        <v>140.41237113402062</v>
      </c>
      <c r="I131" s="60">
        <f>F131-D131</f>
        <v>4.049999999999997</v>
      </c>
      <c r="J131" s="60">
        <f>F131/D131*100</f>
        <v>113.5</v>
      </c>
      <c r="K131" s="60">
        <f>F131-28.2</f>
        <v>5.849999999999998</v>
      </c>
      <c r="L131" s="138">
        <f>F131/28.2</f>
        <v>1.2074468085106382</v>
      </c>
      <c r="M131" s="40">
        <f>E131-жовтень!E131</f>
        <v>0.3999999999999986</v>
      </c>
      <c r="N131" s="40">
        <f>F131-жовтень!F131</f>
        <v>1.019999999999996</v>
      </c>
      <c r="O131" s="53">
        <f>N131-M131</f>
        <v>0.6199999999999974</v>
      </c>
      <c r="P131" s="60">
        <f>N131/M131*100</f>
        <v>254.9999999999999</v>
      </c>
      <c r="Q131" s="60">
        <f>N131-0.2</f>
        <v>0.8199999999999961</v>
      </c>
      <c r="R131" s="138">
        <f>N131/0.2</f>
        <v>5.09999999999998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E132-жовтень!E132</f>
        <v>0</v>
      </c>
      <c r="N132" s="40">
        <f>F132-жовтень!F132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E133-жовтень!E133</f>
        <v>0</v>
      </c>
      <c r="N133" s="40">
        <f>F133-жовтень!F133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106798.93</v>
      </c>
      <c r="F134" s="31">
        <f>F117+F131+F124+F130+F133+F132</f>
        <v>97754.47</v>
      </c>
      <c r="G134" s="50">
        <f t="shared" si="43"/>
        <v>-9044.459999999992</v>
      </c>
      <c r="H134" s="51">
        <f>F134/E134*100</f>
        <v>91.531319648989</v>
      </c>
      <c r="I134" s="36">
        <f t="shared" si="44"/>
        <v>-17036.15000000001</v>
      </c>
      <c r="J134" s="36">
        <f>F134/D134*100</f>
        <v>85.15893546005762</v>
      </c>
      <c r="K134" s="36">
        <f>F134-108511.5</f>
        <v>-10757.029999999999</v>
      </c>
      <c r="L134" s="136">
        <f>F134/108511.5</f>
        <v>0.9008673735041908</v>
      </c>
      <c r="M134" s="31">
        <f>M117+M131+M124+M130+M133+M132</f>
        <v>14117.180000000008</v>
      </c>
      <c r="N134" s="31">
        <f>N117+N131+N124+N130+N133+N132</f>
        <v>14759.750000000005</v>
      </c>
      <c r="O134" s="36">
        <f t="shared" si="45"/>
        <v>642.5699999999979</v>
      </c>
      <c r="P134" s="36">
        <f>N134/M134*100</f>
        <v>104.55168808501413</v>
      </c>
      <c r="Q134" s="36">
        <f>N134-12149.2</f>
        <v>2610.5500000000047</v>
      </c>
      <c r="R134" s="136">
        <f>N134/12149.2</f>
        <v>1.2148742304020022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553364.1599999999</v>
      </c>
      <c r="F135" s="31">
        <f>F107+F134</f>
        <v>538398.15</v>
      </c>
      <c r="G135" s="50">
        <f t="shared" si="43"/>
        <v>-14966.009999999893</v>
      </c>
      <c r="H135" s="51">
        <f>F135/E135*100</f>
        <v>97.29545007034791</v>
      </c>
      <c r="I135" s="36">
        <f t="shared" si="44"/>
        <v>-83272.06999999995</v>
      </c>
      <c r="J135" s="36">
        <f>F135/D135*100</f>
        <v>86.6051055171985</v>
      </c>
      <c r="K135" s="36">
        <f>F135-547461.7</f>
        <v>-9063.54999999993</v>
      </c>
      <c r="L135" s="136">
        <f>F135/547461.7</f>
        <v>0.9834444126411036</v>
      </c>
      <c r="M135" s="22">
        <f>M107+M134</f>
        <v>55955.07000000003</v>
      </c>
      <c r="N135" s="22">
        <f>N107+N134</f>
        <v>55833.190000000024</v>
      </c>
      <c r="O135" s="36">
        <f t="shared" si="45"/>
        <v>-121.88000000000466</v>
      </c>
      <c r="P135" s="36">
        <f>N135/M135*100</f>
        <v>99.7821823831156</v>
      </c>
      <c r="Q135" s="36">
        <f>N135-53205.8</f>
        <v>2627.3900000000212</v>
      </c>
      <c r="R135" s="136">
        <f>N135/53205.8</f>
        <v>1.0493816463618633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10"/>
      <c r="H138" s="210"/>
      <c r="I138" s="210"/>
      <c r="J138" s="210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41971</v>
      </c>
      <c r="D139" s="39">
        <v>5899.1</v>
      </c>
      <c r="N139" s="211"/>
      <c r="O139" s="211"/>
    </row>
    <row r="140" spans="3:15" ht="15.75">
      <c r="C140" s="120">
        <v>41970</v>
      </c>
      <c r="D140" s="39">
        <v>3541.6</v>
      </c>
      <c r="F140" s="4" t="s">
        <v>166</v>
      </c>
      <c r="G140" s="179" t="s">
        <v>151</v>
      </c>
      <c r="H140" s="179"/>
      <c r="I140" s="115">
        <v>8909.73221</v>
      </c>
      <c r="J140" s="180" t="s">
        <v>161</v>
      </c>
      <c r="K140" s="180"/>
      <c r="L140" s="180"/>
      <c r="M140" s="180"/>
      <c r="N140" s="211"/>
      <c r="O140" s="211"/>
    </row>
    <row r="141" spans="3:15" ht="15.75">
      <c r="C141" s="120">
        <v>41969</v>
      </c>
      <c r="D141" s="39">
        <v>1246.3</v>
      </c>
      <c r="G141" s="212" t="s">
        <v>155</v>
      </c>
      <c r="H141" s="212"/>
      <c r="I141" s="112">
        <v>0</v>
      </c>
      <c r="J141" s="213" t="s">
        <v>162</v>
      </c>
      <c r="K141" s="213"/>
      <c r="L141" s="213"/>
      <c r="M141" s="213"/>
      <c r="N141" s="211"/>
      <c r="O141" s="211"/>
    </row>
    <row r="142" spans="7:13" ht="15.75" customHeight="1">
      <c r="G142" s="179" t="s">
        <v>148</v>
      </c>
      <c r="H142" s="179"/>
      <c r="I142" s="112">
        <v>0</v>
      </c>
      <c r="J142" s="180" t="s">
        <v>163</v>
      </c>
      <c r="K142" s="180"/>
      <c r="L142" s="180"/>
      <c r="M142" s="180"/>
    </row>
    <row r="143" spans="2:13" ht="18.75" customHeight="1">
      <c r="B143" s="214" t="s">
        <v>160</v>
      </c>
      <c r="C143" s="215"/>
      <c r="D143" s="117">
        <v>120388.97812999999</v>
      </c>
      <c r="E143" s="80"/>
      <c r="F143" s="100" t="s">
        <v>147</v>
      </c>
      <c r="G143" s="179" t="s">
        <v>149</v>
      </c>
      <c r="H143" s="179"/>
      <c r="I143" s="116">
        <v>111479.24591999999</v>
      </c>
      <c r="J143" s="180" t="s">
        <v>164</v>
      </c>
      <c r="K143" s="180"/>
      <c r="L143" s="180"/>
      <c r="M143" s="180"/>
    </row>
    <row r="144" spans="7:12" ht="9.75" customHeight="1">
      <c r="G144" s="216"/>
      <c r="H144" s="216"/>
      <c r="I144" s="98"/>
      <c r="J144" s="99"/>
      <c r="K144" s="99"/>
      <c r="L144" s="99"/>
    </row>
    <row r="145" spans="2:12" ht="22.5" customHeight="1">
      <c r="B145" s="217" t="s">
        <v>169</v>
      </c>
      <c r="C145" s="218"/>
      <c r="D145" s="119">
        <v>11457.696189999997</v>
      </c>
      <c r="E145" s="77" t="s">
        <v>104</v>
      </c>
      <c r="G145" s="216"/>
      <c r="H145" s="216"/>
      <c r="I145" s="98"/>
      <c r="J145" s="99"/>
      <c r="K145" s="99"/>
      <c r="L145" s="99"/>
    </row>
    <row r="146" spans="4:15" ht="15.75">
      <c r="D146" s="114"/>
      <c r="N146" s="216"/>
      <c r="O146" s="216"/>
    </row>
    <row r="147" spans="4:15" ht="15.75">
      <c r="D147" s="113"/>
      <c r="I147" s="39"/>
      <c r="N147" s="219"/>
      <c r="O147" s="219"/>
    </row>
    <row r="148" spans="14:15" ht="15.75">
      <c r="N148" s="216"/>
      <c r="O148" s="216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19" right="0.18" top="0.27" bottom="0.36" header="0.17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A1">
      <pane xSplit="3" ySplit="9" topLeftCell="D13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50" sqref="D150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288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282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279</v>
      </c>
      <c r="H4" s="200" t="s">
        <v>280</v>
      </c>
      <c r="I4" s="202" t="s">
        <v>188</v>
      </c>
      <c r="J4" s="204" t="s">
        <v>189</v>
      </c>
      <c r="K4" s="206" t="s">
        <v>285</v>
      </c>
      <c r="L4" s="207"/>
      <c r="M4" s="194"/>
      <c r="N4" s="181" t="s">
        <v>289</v>
      </c>
      <c r="O4" s="202" t="s">
        <v>136</v>
      </c>
      <c r="P4" s="202" t="s">
        <v>135</v>
      </c>
      <c r="Q4" s="206" t="s">
        <v>287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278</v>
      </c>
      <c r="F5" s="197"/>
      <c r="G5" s="199"/>
      <c r="H5" s="201"/>
      <c r="I5" s="203"/>
      <c r="J5" s="205"/>
      <c r="K5" s="208"/>
      <c r="L5" s="209"/>
      <c r="M5" s="151" t="s">
        <v>281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391003.6399999999</v>
      </c>
      <c r="F8" s="22">
        <f>F10+F19+F33+F56+F68+F30</f>
        <v>388759.25</v>
      </c>
      <c r="G8" s="22">
        <f aca="true" t="shared" si="0" ref="G8:G30">F8-E8</f>
        <v>-2244.3899999998976</v>
      </c>
      <c r="H8" s="51">
        <f>F8/E8*100</f>
        <v>99.42599255597725</v>
      </c>
      <c r="I8" s="36">
        <f aca="true" t="shared" si="1" ref="I8:I17">F8-D8</f>
        <v>-99717.04999999999</v>
      </c>
      <c r="J8" s="36">
        <f aca="true" t="shared" si="2" ref="J8:J14">F8/D8*100</f>
        <v>79.58610274439108</v>
      </c>
      <c r="K8" s="36">
        <f>F8-381548.5</f>
        <v>7210.75</v>
      </c>
      <c r="L8" s="136">
        <f>F8/381548.5</f>
        <v>1.0188986459126428</v>
      </c>
      <c r="M8" s="22">
        <f>M10+M19+M33+M56+M68+M30</f>
        <v>39644.799999999974</v>
      </c>
      <c r="N8" s="22">
        <f>N10+N19+N33+N56+N68+N30</f>
        <v>40469.20000000001</v>
      </c>
      <c r="O8" s="36">
        <f aca="true" t="shared" si="3" ref="O8:O71">N8-M8</f>
        <v>824.4000000000378</v>
      </c>
      <c r="P8" s="36">
        <f>F8/M8*100</f>
        <v>980.6059054403105</v>
      </c>
      <c r="Q8" s="36">
        <f>N8-37261.3</f>
        <v>3207.9000000000087</v>
      </c>
      <c r="R8" s="134">
        <f>N8/37261.3</f>
        <v>1.0860920043047346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316022.19</v>
      </c>
      <c r="G9" s="22">
        <f t="shared" si="0"/>
        <v>316022.19</v>
      </c>
      <c r="H9" s="20"/>
      <c r="I9" s="56">
        <f t="shared" si="1"/>
        <v>-70991.01000000001</v>
      </c>
      <c r="J9" s="56">
        <f t="shared" si="2"/>
        <v>81.65669543054346</v>
      </c>
      <c r="K9" s="56"/>
      <c r="L9" s="135"/>
      <c r="M9" s="20">
        <f>M10+M17</f>
        <v>32246.599999999977</v>
      </c>
      <c r="N9" s="20">
        <f>N10+N17</f>
        <v>33408.51000000001</v>
      </c>
      <c r="O9" s="36">
        <f t="shared" si="3"/>
        <v>1161.9100000000326</v>
      </c>
      <c r="P9" s="56">
        <f>F9/M9*100</f>
        <v>980.0170870727463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319706.1</v>
      </c>
      <c r="F10" s="169">
        <v>316022.19</v>
      </c>
      <c r="G10" s="49">
        <f t="shared" si="0"/>
        <v>-3683.9099999999744</v>
      </c>
      <c r="H10" s="40">
        <f aca="true" t="shared" si="4" ref="H10:H17">F10/E10*100</f>
        <v>98.84771982767924</v>
      </c>
      <c r="I10" s="56">
        <f t="shared" si="1"/>
        <v>-70991.01000000001</v>
      </c>
      <c r="J10" s="56">
        <f t="shared" si="2"/>
        <v>81.65669543054346</v>
      </c>
      <c r="K10" s="141">
        <f>F10-302092.5</f>
        <v>13929.690000000002</v>
      </c>
      <c r="L10" s="142">
        <f>F10/302092.5</f>
        <v>1.046110678020805</v>
      </c>
      <c r="M10" s="40">
        <f>E10-вересень!E10</f>
        <v>32246.599999999977</v>
      </c>
      <c r="N10" s="40">
        <f>F10-вересень!F10</f>
        <v>33408.51000000001</v>
      </c>
      <c r="O10" s="53">
        <f t="shared" si="3"/>
        <v>1161.9100000000326</v>
      </c>
      <c r="P10" s="56">
        <f aca="true" t="shared" si="5" ref="P10:P17">N10/M10*100</f>
        <v>103.60320157784086</v>
      </c>
      <c r="Q10" s="141">
        <f>N10-29418.1</f>
        <v>3990.4100000000108</v>
      </c>
      <c r="R10" s="142">
        <f>N10/29418.1</f>
        <v>1.1356447221268542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E11-вересень!E11</f>
        <v>0</v>
      </c>
      <c r="N11" s="40">
        <f>F11-вересень!F11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E12-вересень!E12</f>
        <v>0</v>
      </c>
      <c r="N12" s="40">
        <f>F12-вересень!F12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E13-вересень!E13</f>
        <v>0</v>
      </c>
      <c r="N13" s="40">
        <f>F13-вересень!F13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E14-вересень!E14</f>
        <v>0</v>
      </c>
      <c r="N14" s="40">
        <f>F14-вересень!F14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E15-вересень!E15</f>
        <v>0</v>
      </c>
      <c r="N15" s="40">
        <f>F15-вересень!F15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E16-вересень!E16</f>
        <v>0</v>
      </c>
      <c r="N16" s="40">
        <f>F16-вересень!F16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E17-вересень!E17</f>
        <v>0</v>
      </c>
      <c r="N17" s="40">
        <f>F17-вересень!F17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E18-вересень!E18</f>
        <v>0</v>
      </c>
      <c r="N18" s="40">
        <f>F18-вересень!F18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1067.6</v>
      </c>
      <c r="F19" s="169">
        <v>-880.89</v>
      </c>
      <c r="G19" s="49">
        <f t="shared" si="0"/>
        <v>-1948.4899999999998</v>
      </c>
      <c r="H19" s="40">
        <f aca="true" t="shared" si="6" ref="H19:H29">F19/E19*100</f>
        <v>-82.51124016485576</v>
      </c>
      <c r="I19" s="56">
        <f aca="true" t="shared" si="7" ref="I19:I29">F19-D19</f>
        <v>-1880.8899999999999</v>
      </c>
      <c r="J19" s="56">
        <f aca="true" t="shared" si="8" ref="J19:J29">F19/D19*100</f>
        <v>-88.089</v>
      </c>
      <c r="K19" s="167">
        <f>F19-6843.6</f>
        <v>-7724.490000000001</v>
      </c>
      <c r="L19" s="168">
        <f>F19/6843.6</f>
        <v>-0.12871734174995617</v>
      </c>
      <c r="M19" s="40">
        <f>E19-вересень!E19</f>
        <v>11</v>
      </c>
      <c r="N19" s="40">
        <f>F19-вересень!F19</f>
        <v>-476.41999999999996</v>
      </c>
      <c r="O19" s="53">
        <f t="shared" si="3"/>
        <v>-487.41999999999996</v>
      </c>
      <c r="P19" s="56">
        <f aca="true" t="shared" si="9" ref="P19:P29">N19/M19*100</f>
        <v>-4331.090909090908</v>
      </c>
      <c r="Q19" s="56">
        <f>N19-364.5</f>
        <v>-840.92</v>
      </c>
      <c r="R19" s="135">
        <f>N19/364.5</f>
        <v>-1.3070507544581618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E20-вересень!E20</f>
        <v>0</v>
      </c>
      <c r="N20" s="40">
        <f>F20-вересень!F20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E21-вересень!E21</f>
        <v>0</v>
      </c>
      <c r="N21" s="40">
        <f>F21-вересень!F21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E22-вересень!E22</f>
        <v>0</v>
      </c>
      <c r="N22" s="40">
        <f>F22-вересень!F22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E23-вересень!E23</f>
        <v>0</v>
      </c>
      <c r="N23" s="40">
        <f>F23-вересень!F23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E24-вересень!E24</f>
        <v>0</v>
      </c>
      <c r="N24" s="40">
        <f>F24-вересень!F24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E25-вересень!E25</f>
        <v>0</v>
      </c>
      <c r="N25" s="40">
        <f>F25-вересень!F25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E26-вересень!E26</f>
        <v>0</v>
      </c>
      <c r="N26" s="40">
        <f>F26-вересень!F26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E27-вересень!E27</f>
        <v>0</v>
      </c>
      <c r="N27" s="40">
        <f>F27-вересень!F27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E28-вересень!E28</f>
        <v>0</v>
      </c>
      <c r="N28" s="40">
        <f>F28-вересень!F28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807.6</v>
      </c>
      <c r="F29" s="170">
        <v>-381.9</v>
      </c>
      <c r="G29" s="49">
        <f t="shared" si="0"/>
        <v>-1189.5</v>
      </c>
      <c r="H29" s="40">
        <f t="shared" si="6"/>
        <v>-47.28826151560178</v>
      </c>
      <c r="I29" s="56">
        <f t="shared" si="7"/>
        <v>-1311.9</v>
      </c>
      <c r="J29" s="56">
        <f t="shared" si="8"/>
        <v>-41.064516129032256</v>
      </c>
      <c r="K29" s="148">
        <f>F29-2915.3</f>
        <v>-3297.2000000000003</v>
      </c>
      <c r="L29" s="149">
        <f>F29/2915.3</f>
        <v>-0.13099852502315368</v>
      </c>
      <c r="M29" s="40">
        <f>E29-вересень!E29</f>
        <v>11</v>
      </c>
      <c r="N29" s="40">
        <f>F29-вересень!F29</f>
        <v>-477.51</v>
      </c>
      <c r="O29" s="148">
        <f t="shared" si="3"/>
        <v>-488.51</v>
      </c>
      <c r="P29" s="145">
        <f t="shared" si="9"/>
        <v>-4341</v>
      </c>
      <c r="Q29" s="148">
        <f>N29-55.3</f>
        <v>-532.81</v>
      </c>
      <c r="R29" s="149">
        <f>N29/55.3</f>
        <v>-8.63490054249548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27.5</v>
      </c>
      <c r="F30" s="169">
        <v>3.35</v>
      </c>
      <c r="G30" s="49">
        <f t="shared" si="0"/>
        <v>-24.15</v>
      </c>
      <c r="H30" s="40"/>
      <c r="I30" s="56"/>
      <c r="J30" s="56"/>
      <c r="K30" s="56">
        <f>F30-25.1</f>
        <v>-21.75</v>
      </c>
      <c r="L30" s="149">
        <f>F30/25.1</f>
        <v>0.13346613545816732</v>
      </c>
      <c r="M30" s="40">
        <f>E30-вересень!E30</f>
        <v>0.5</v>
      </c>
      <c r="N30" s="40">
        <f>F30-вересень!F30</f>
        <v>0.040000000000000036</v>
      </c>
      <c r="O30" s="53">
        <f t="shared" si="3"/>
        <v>-0.45999999999999996</v>
      </c>
      <c r="P30" s="56"/>
      <c r="Q30" s="56">
        <f>N30-0</f>
        <v>0.040000000000000036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E31-вересень!E31</f>
        <v>0</v>
      </c>
      <c r="N31" s="40">
        <f>F31-вересень!F31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E32-вересень!E32</f>
        <v>0</v>
      </c>
      <c r="N32" s="40">
        <f>F32-вересень!F32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64535.84</v>
      </c>
      <c r="F33" s="169">
        <v>68266.84</v>
      </c>
      <c r="G33" s="49">
        <f aca="true" t="shared" si="14" ref="G33:G72">F33-E33</f>
        <v>3731</v>
      </c>
      <c r="H33" s="40">
        <f aca="true" t="shared" si="15" ref="H33:H67">F33/E33*100</f>
        <v>105.7812837022033</v>
      </c>
      <c r="I33" s="56">
        <f>F33-D33</f>
        <v>-25299.160000000003</v>
      </c>
      <c r="J33" s="56">
        <f aca="true" t="shared" si="16" ref="J33:J72">F33/D33*100</f>
        <v>72.96116110552978</v>
      </c>
      <c r="K33" s="141">
        <f>F33-67415.8</f>
        <v>851.0399999999936</v>
      </c>
      <c r="L33" s="142">
        <f>F33/67415.8</f>
        <v>1.0126237469554613</v>
      </c>
      <c r="M33" s="40">
        <f>E33-вересень!E33</f>
        <v>6833.699999999997</v>
      </c>
      <c r="N33" s="40">
        <f>F33-вересень!F33</f>
        <v>7034.379999999997</v>
      </c>
      <c r="O33" s="53">
        <f t="shared" si="3"/>
        <v>200.6800000000003</v>
      </c>
      <c r="P33" s="56">
        <f aca="true" t="shared" si="17" ref="P33:P67">N33/M33*100</f>
        <v>102.93662291291687</v>
      </c>
      <c r="Q33" s="141">
        <f>N33-7002.6</f>
        <v>31.779999999997017</v>
      </c>
      <c r="R33" s="142">
        <f>N33/7002.6</f>
        <v>1.0045383143403874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E34-вересень!E34</f>
        <v>0</v>
      </c>
      <c r="N34" s="40">
        <f>F34-вересень!F34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E35-вересень!E35</f>
        <v>0</v>
      </c>
      <c r="N35" s="40">
        <f>F35-вересень!F35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E36-вересень!E36</f>
        <v>0</v>
      </c>
      <c r="N36" s="40">
        <f>F36-вересень!F36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E37-вересень!E37</f>
        <v>0</v>
      </c>
      <c r="N37" s="40">
        <f>F37-вересень!F37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E38-вересень!E38</f>
        <v>0</v>
      </c>
      <c r="N38" s="40">
        <f>F38-вересень!F38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E39-вересень!E39</f>
        <v>0</v>
      </c>
      <c r="N39" s="40">
        <f>F39-вересень!F39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E40-вересень!E40</f>
        <v>0</v>
      </c>
      <c r="N40" s="40">
        <f>F40-вересень!F40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E41-вересень!E41</f>
        <v>0</v>
      </c>
      <c r="N41" s="40">
        <f>F41-вересень!F41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E42-вересень!E42</f>
        <v>0</v>
      </c>
      <c r="N42" s="40">
        <f>F42-вересень!F42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E43-вересень!E43</f>
        <v>0</v>
      </c>
      <c r="N43" s="40">
        <f>F43-вересень!F43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E44-вересень!E44</f>
        <v>0</v>
      </c>
      <c r="N44" s="40">
        <f>F44-вересень!F44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E45-вересень!E45</f>
        <v>0</v>
      </c>
      <c r="N45" s="40">
        <f>F45-вересень!F45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E46-вересень!E46</f>
        <v>0</v>
      </c>
      <c r="N46" s="40">
        <f>F46-вересень!F46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E47-вересень!E47</f>
        <v>0</v>
      </c>
      <c r="N47" s="40">
        <f>F47-вересень!F47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E48-вересень!E48</f>
        <v>0</v>
      </c>
      <c r="N48" s="40">
        <f>F48-вересень!F48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E49-вересень!E49</f>
        <v>0</v>
      </c>
      <c r="N49" s="40">
        <f>F49-вересень!F49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E50-вересень!E50</f>
        <v>0</v>
      </c>
      <c r="N50" s="40">
        <f>F50-вересень!F50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E51-вересень!E51</f>
        <v>0</v>
      </c>
      <c r="N51" s="40">
        <f>F51-вересень!F51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E52-вересень!E52</f>
        <v>0</v>
      </c>
      <c r="N52" s="40">
        <f>F52-вересень!F52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E53-вересень!E53</f>
        <v>0</v>
      </c>
      <c r="N53" s="40">
        <f>F53-вересень!F53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E54-вересень!E54</f>
        <v>0</v>
      </c>
      <c r="N54" s="40">
        <f>F54-вересень!F54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47405.54</v>
      </c>
      <c r="F55" s="170">
        <v>50704.65</v>
      </c>
      <c r="G55" s="144">
        <f t="shared" si="14"/>
        <v>3299.1100000000006</v>
      </c>
      <c r="H55" s="146">
        <f t="shared" si="15"/>
        <v>106.95933428877721</v>
      </c>
      <c r="I55" s="145">
        <f t="shared" si="18"/>
        <v>-19561.35</v>
      </c>
      <c r="J55" s="145">
        <f t="shared" si="16"/>
        <v>72.16100247630433</v>
      </c>
      <c r="K55" s="148">
        <f>F55-49156.62</f>
        <v>1548.0299999999988</v>
      </c>
      <c r="L55" s="149">
        <f>F55/49156.62</f>
        <v>1.031491790932737</v>
      </c>
      <c r="M55" s="40">
        <f>E55-вересень!E55</f>
        <v>4933.700000000004</v>
      </c>
      <c r="N55" s="40">
        <f>F55-вересень!F55</f>
        <v>5283.25</v>
      </c>
      <c r="O55" s="148">
        <f t="shared" si="3"/>
        <v>349.54999999999563</v>
      </c>
      <c r="P55" s="148">
        <f t="shared" si="17"/>
        <v>107.08494638911962</v>
      </c>
      <c r="Q55" s="160">
        <f>N55-5343.11</f>
        <v>-59.85999999999967</v>
      </c>
      <c r="R55" s="161">
        <f>N55/5343.11</f>
        <v>0.9887967868900323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5666.5</v>
      </c>
      <c r="F56" s="169">
        <f>1.51+5344.45</f>
        <v>5345.96</v>
      </c>
      <c r="G56" s="49">
        <f t="shared" si="14"/>
        <v>-320.53999999999996</v>
      </c>
      <c r="H56" s="40">
        <f t="shared" si="15"/>
        <v>94.34324538957028</v>
      </c>
      <c r="I56" s="56">
        <f t="shared" si="18"/>
        <v>-1514.04</v>
      </c>
      <c r="J56" s="56">
        <f t="shared" si="16"/>
        <v>77.92944606413994</v>
      </c>
      <c r="K56" s="56">
        <f>F56-5173.5</f>
        <v>172.46000000000004</v>
      </c>
      <c r="L56" s="135">
        <f>F56/5173.5</f>
        <v>1.033335266260752</v>
      </c>
      <c r="M56" s="40">
        <f>E56-вересень!E56</f>
        <v>553</v>
      </c>
      <c r="N56" s="40">
        <f>F56-вересень!F56</f>
        <v>502.4299999999994</v>
      </c>
      <c r="O56" s="53">
        <f t="shared" si="3"/>
        <v>-50.57000000000062</v>
      </c>
      <c r="P56" s="56">
        <f t="shared" si="17"/>
        <v>90.85533453887874</v>
      </c>
      <c r="Q56" s="56">
        <f>N56-479</f>
        <v>23.42999999999938</v>
      </c>
      <c r="R56" s="135">
        <f>N56/479</f>
        <v>1.048914405010437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E57-вересень!E57</f>
        <v>0</v>
      </c>
      <c r="N57" s="40">
        <f>F57-вересень!F57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E58-вересень!E58</f>
        <v>0</v>
      </c>
      <c r="N58" s="40">
        <f>F58-вересень!F58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E59-вересень!E59</f>
        <v>0</v>
      </c>
      <c r="N59" s="40">
        <f>F59-вересень!F59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E60-вересень!E60</f>
        <v>0</v>
      </c>
      <c r="N60" s="40">
        <f>F60-вересень!F60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E61-вересень!E61</f>
        <v>0</v>
      </c>
      <c r="N61" s="40">
        <f>F61-вересень!F61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E62-вересень!E62</f>
        <v>0</v>
      </c>
      <c r="N62" s="40">
        <f>F62-вересень!F62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E63-вересень!E63</f>
        <v>0</v>
      </c>
      <c r="N63" s="40">
        <f>F63-вересень!F63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E64-вересень!E64</f>
        <v>0</v>
      </c>
      <c r="N64" s="40">
        <f>F64-вересень!F64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E65-вересень!E65</f>
        <v>0</v>
      </c>
      <c r="N65" s="40">
        <f>F65-вересень!F65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E66-вересень!E66</f>
        <v>0</v>
      </c>
      <c r="N66" s="40">
        <f>F66-вересень!F66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E67-вересень!E67</f>
        <v>0</v>
      </c>
      <c r="N67" s="40">
        <f>F67-вересень!F67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1.8</v>
      </c>
      <c r="G68" s="49">
        <f t="shared" si="14"/>
        <v>1.7</v>
      </c>
      <c r="H68" s="40"/>
      <c r="I68" s="56">
        <f t="shared" si="18"/>
        <v>1.7</v>
      </c>
      <c r="J68" s="56">
        <f t="shared" si="16"/>
        <v>1800</v>
      </c>
      <c r="K68" s="56">
        <f>F68-(-2)</f>
        <v>3.8</v>
      </c>
      <c r="L68" s="135"/>
      <c r="M68" s="40">
        <f>E68-вересень!E68</f>
        <v>0</v>
      </c>
      <c r="N68" s="40">
        <f>F68-вересень!F68</f>
        <v>0.26</v>
      </c>
      <c r="O68" s="53">
        <f t="shared" si="3"/>
        <v>0.26</v>
      </c>
      <c r="P68" s="56"/>
      <c r="Q68" s="56">
        <f>N68-(-0.3)</f>
        <v>0.56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13696.5</v>
      </c>
      <c r="F74" s="22">
        <f>F77+F86+F88+F89+F94+F95+F96+F97+F99+F104+F87+F103</f>
        <v>10788.91</v>
      </c>
      <c r="G74" s="50">
        <f aca="true" t="shared" si="24" ref="G74:G92">F74-E74</f>
        <v>-2907.59</v>
      </c>
      <c r="H74" s="51">
        <f aca="true" t="shared" si="25" ref="H74:H87">F74/E74*100</f>
        <v>78.77129193589603</v>
      </c>
      <c r="I74" s="36">
        <f aca="true" t="shared" si="26" ref="I74:I92">F74-D74</f>
        <v>-7569.389999999999</v>
      </c>
      <c r="J74" s="36">
        <f aca="true" t="shared" si="27" ref="J74:J92">F74/D74*100</f>
        <v>58.76856789572019</v>
      </c>
      <c r="K74" s="36">
        <f>F74-16325.3</f>
        <v>-5536.389999999999</v>
      </c>
      <c r="L74" s="136">
        <f>F74/16325.3</f>
        <v>0.6608705506177528</v>
      </c>
      <c r="M74" s="22">
        <f>M77+M86+M88+M89+M94+M95+M96+M97+M99+M87+M104</f>
        <v>1516.5</v>
      </c>
      <c r="N74" s="22">
        <f>N77+N86+N88+N89+N94+N95+N96+N97+N99+N32+N104+N87+N103</f>
        <v>1029.4769999999994</v>
      </c>
      <c r="O74" s="55">
        <f aca="true" t="shared" si="28" ref="O74:O92">N74-M74</f>
        <v>-487.0230000000006</v>
      </c>
      <c r="P74" s="36">
        <f>N74/M74*100</f>
        <v>67.88506429277939</v>
      </c>
      <c r="Q74" s="36">
        <f>N74-1739.9</f>
        <v>-710.4230000000007</v>
      </c>
      <c r="R74" s="136">
        <f>N74/1739.9</f>
        <v>0.5916874533019135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F77-1716.7</f>
        <v>-1593.25</v>
      </c>
      <c r="L77" s="168">
        <f>F77/1716.7</f>
        <v>0.0719112250247568</v>
      </c>
      <c r="M77" s="40">
        <f>E77-вересень!E77</f>
        <v>0</v>
      </c>
      <c r="N77" s="40">
        <f>F77-вересень!F77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N77-22.2</f>
        <v>-22.2</v>
      </c>
      <c r="R77" s="135">
        <f>N77/22.2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E78-вересень!E78</f>
        <v>0</v>
      </c>
      <c r="N78" s="40">
        <f>F78-вересень!F78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E79-вересень!E79</f>
        <v>0</v>
      </c>
      <c r="N79" s="40">
        <f>F79-вересень!F79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E80-вересень!E80</f>
        <v>0</v>
      </c>
      <c r="N80" s="40">
        <f>F80-вересень!F80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E81-вересень!E81</f>
        <v>0</v>
      </c>
      <c r="N81" s="40">
        <f>F81-вересень!F81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E82-вересень!E82</f>
        <v>0</v>
      </c>
      <c r="N82" s="40">
        <f>F82-вересень!F82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E83-вересень!E83</f>
        <v>0</v>
      </c>
      <c r="N83" s="40">
        <f>F83-вересень!F83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E84-вересень!E84</f>
        <v>0</v>
      </c>
      <c r="N84" s="40">
        <f>F84-вересень!F84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E85-вересень!E85</f>
        <v>0</v>
      </c>
      <c r="N85" s="40">
        <f>F85-вересень!F85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3080</v>
      </c>
      <c r="F86" s="169">
        <v>0</v>
      </c>
      <c r="G86" s="49">
        <f t="shared" si="24"/>
        <v>-3080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F86-3105.3</f>
        <v>-3105.3</v>
      </c>
      <c r="L86" s="168"/>
      <c r="M86" s="40">
        <f>E86-вересень!E86</f>
        <v>480</v>
      </c>
      <c r="N86" s="40">
        <f>F86-вересень!F86</f>
        <v>0</v>
      </c>
      <c r="O86" s="53">
        <f t="shared" si="28"/>
        <v>-480</v>
      </c>
      <c r="P86" s="56">
        <f t="shared" si="29"/>
        <v>0</v>
      </c>
      <c r="Q86" s="56">
        <f>N86-463.7</f>
        <v>-463.7</v>
      </c>
      <c r="R86" s="135">
        <f>N86/463.7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279.6</v>
      </c>
      <c r="G87" s="49">
        <f t="shared" si="24"/>
        <v>59.60000000000002</v>
      </c>
      <c r="H87" s="40">
        <f t="shared" si="25"/>
        <v>127.0909090909091</v>
      </c>
      <c r="I87" s="56">
        <f t="shared" si="26"/>
        <v>-220.39999999999998</v>
      </c>
      <c r="J87" s="56">
        <f t="shared" si="27"/>
        <v>55.92</v>
      </c>
      <c r="K87" s="56">
        <f>F87-222.2</f>
        <v>57.400000000000034</v>
      </c>
      <c r="L87" s="135">
        <f>F87/222.2</f>
        <v>1.2583258325832585</v>
      </c>
      <c r="M87" s="40">
        <f>E87-вересень!E87</f>
        <v>0</v>
      </c>
      <c r="N87" s="40">
        <f>F87-вересень!F87</f>
        <v>7.350000000000023</v>
      </c>
      <c r="O87" s="53">
        <f t="shared" si="28"/>
        <v>7.350000000000023</v>
      </c>
      <c r="P87" s="56" t="e">
        <f t="shared" si="29"/>
        <v>#DIV/0!</v>
      </c>
      <c r="Q87" s="56">
        <f>N87-11.9</f>
        <v>-4.549999999999978</v>
      </c>
      <c r="R87" s="135">
        <f>N87/11.9</f>
        <v>0.6176470588235313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</v>
      </c>
      <c r="F88" s="169">
        <v>5.6</v>
      </c>
      <c r="G88" s="49">
        <f t="shared" si="24"/>
        <v>1.5999999999999996</v>
      </c>
      <c r="H88" s="40">
        <f>F88/E88*100</f>
        <v>140</v>
      </c>
      <c r="I88" s="56">
        <f t="shared" si="26"/>
        <v>0.5</v>
      </c>
      <c r="J88" s="56">
        <f t="shared" si="27"/>
        <v>109.80392156862746</v>
      </c>
      <c r="K88" s="56">
        <f>F88-4.4</f>
        <v>1.1999999999999993</v>
      </c>
      <c r="L88" s="135"/>
      <c r="M88" s="40">
        <f>E88-вересень!E88</f>
        <v>0.5</v>
      </c>
      <c r="N88" s="40">
        <f>F88-вересень!F88</f>
        <v>0</v>
      </c>
      <c r="O88" s="53">
        <f t="shared" si="28"/>
        <v>-0.5</v>
      </c>
      <c r="P88" s="56">
        <f>N88/M88*100</f>
        <v>0</v>
      </c>
      <c r="Q88" s="56">
        <f>N88-1.3</f>
        <v>-1.3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144</v>
      </c>
      <c r="F89" s="169">
        <v>112.45</v>
      </c>
      <c r="G89" s="49">
        <f t="shared" si="24"/>
        <v>-31.549999999999997</v>
      </c>
      <c r="H89" s="40">
        <f>F89/E89*100</f>
        <v>78.09027777777779</v>
      </c>
      <c r="I89" s="56">
        <f t="shared" si="26"/>
        <v>-62.55</v>
      </c>
      <c r="J89" s="56">
        <f t="shared" si="27"/>
        <v>64.25714285714285</v>
      </c>
      <c r="K89" s="56">
        <f>F89-137.6</f>
        <v>-25.14999999999999</v>
      </c>
      <c r="L89" s="135">
        <f>F89/137.6</f>
        <v>0.8172238372093024</v>
      </c>
      <c r="M89" s="40">
        <f>E89-вересень!E89</f>
        <v>15</v>
      </c>
      <c r="N89" s="40">
        <f>F89-вересень!F89</f>
        <v>14.5</v>
      </c>
      <c r="O89" s="53">
        <f t="shared" si="28"/>
        <v>-0.5</v>
      </c>
      <c r="P89" s="56">
        <f>N89/M89*100</f>
        <v>96.66666666666667</v>
      </c>
      <c r="Q89" s="56">
        <f>N89-14.4</f>
        <v>0.09999999999999964</v>
      </c>
      <c r="R89" s="135">
        <f>N89/14.4</f>
        <v>1.0069444444444444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E90-вересень!E90</f>
        <v>0</v>
      </c>
      <c r="N90" s="40">
        <f>F90-вересень!F90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E91-вересень!E91</f>
        <v>0</v>
      </c>
      <c r="N91" s="40">
        <f>F91-вересень!F91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E92-вересень!E92</f>
        <v>0</v>
      </c>
      <c r="N92" s="40">
        <f>F92-вересень!F92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E93-вересень!E93</f>
        <v>0</v>
      </c>
      <c r="N93" s="40">
        <f>F93-вересень!F93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E94-вересень!E94</f>
        <v>0</v>
      </c>
      <c r="N94" s="40">
        <f>F94-вересень!F94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5831.5</v>
      </c>
      <c r="F95" s="169">
        <v>5937.15</v>
      </c>
      <c r="G95" s="49">
        <f t="shared" si="31"/>
        <v>105.64999999999964</v>
      </c>
      <c r="H95" s="40">
        <f>F95/E95*100</f>
        <v>101.81171225242218</v>
      </c>
      <c r="I95" s="56">
        <f t="shared" si="32"/>
        <v>-1062.8500000000004</v>
      </c>
      <c r="J95" s="56">
        <f>F95/D95*100</f>
        <v>84.81642857142857</v>
      </c>
      <c r="K95" s="56">
        <f>F95-6170</f>
        <v>-232.85000000000036</v>
      </c>
      <c r="L95" s="135">
        <f>F95/6170</f>
        <v>0.9622609400324148</v>
      </c>
      <c r="M95" s="40">
        <f>E95-вересень!E95</f>
        <v>575</v>
      </c>
      <c r="N95" s="40">
        <f>F95-вересень!F95</f>
        <v>571.7299999999996</v>
      </c>
      <c r="O95" s="53">
        <f t="shared" si="33"/>
        <v>-3.2700000000004366</v>
      </c>
      <c r="P95" s="56">
        <f>N95/M95*100</f>
        <v>99.43130434782601</v>
      </c>
      <c r="Q95" s="56">
        <f>N95-652.5</f>
        <v>-80.77000000000044</v>
      </c>
      <c r="R95" s="135">
        <f>N95/652.5</f>
        <v>0.8762145593869725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904.5</v>
      </c>
      <c r="F96" s="169">
        <v>865.17</v>
      </c>
      <c r="G96" s="49">
        <f t="shared" si="31"/>
        <v>-39.33000000000004</v>
      </c>
      <c r="H96" s="40">
        <f>F96/E96*100</f>
        <v>95.65174129353234</v>
      </c>
      <c r="I96" s="56">
        <f t="shared" si="32"/>
        <v>-334.83000000000004</v>
      </c>
      <c r="J96" s="56">
        <f>F96/D96*100</f>
        <v>72.0975</v>
      </c>
      <c r="K96" s="56">
        <f>F96-930</f>
        <v>-64.83000000000004</v>
      </c>
      <c r="L96" s="135">
        <f>F96/930</f>
        <v>0.9302903225806451</v>
      </c>
      <c r="M96" s="40">
        <f>E96-вересень!E96</f>
        <v>110</v>
      </c>
      <c r="N96" s="40">
        <f>F96-вересень!F96</f>
        <v>82.78999999999996</v>
      </c>
      <c r="O96" s="53">
        <f t="shared" si="33"/>
        <v>-27.210000000000036</v>
      </c>
      <c r="P96" s="56">
        <f>N96/M96*100</f>
        <v>75.26363636363634</v>
      </c>
      <c r="Q96" s="56">
        <f>N96-134.5</f>
        <v>-51.710000000000036</v>
      </c>
      <c r="R96" s="135">
        <f>N96/134.5</f>
        <v>0.6155390334572488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E97-вересень!E97</f>
        <v>0</v>
      </c>
      <c r="N97" s="40">
        <f>F97-вересень!F97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E98-вересень!E98</f>
        <v>0</v>
      </c>
      <c r="N98" s="40">
        <f>F98-вересень!F98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3337</v>
      </c>
      <c r="F99" s="169">
        <v>3446.94</v>
      </c>
      <c r="G99" s="49">
        <f t="shared" si="31"/>
        <v>109.94000000000005</v>
      </c>
      <c r="H99" s="40">
        <f>F99/E99*100</f>
        <v>103.29457596643692</v>
      </c>
      <c r="I99" s="56">
        <f t="shared" si="32"/>
        <v>-1125.7599999999998</v>
      </c>
      <c r="J99" s="56">
        <f>F99/D99*100</f>
        <v>75.38084720187199</v>
      </c>
      <c r="K99" s="56">
        <f>F99-3845.9</f>
        <v>-398.96000000000004</v>
      </c>
      <c r="L99" s="135">
        <f>F99/3845.9</f>
        <v>0.896263553394524</v>
      </c>
      <c r="M99" s="40">
        <f>E99-вересень!E99</f>
        <v>330</v>
      </c>
      <c r="N99" s="40">
        <f>F99-вересень!F99</f>
        <v>353.10699999999997</v>
      </c>
      <c r="O99" s="53">
        <f t="shared" si="33"/>
        <v>23.10699999999997</v>
      </c>
      <c r="P99" s="56">
        <f>N99/M99*100</f>
        <v>107.00212121212121</v>
      </c>
      <c r="Q99" s="56">
        <f>N99-434.7</f>
        <v>-81.59300000000002</v>
      </c>
      <c r="R99" s="135">
        <f>N99/434.7</f>
        <v>0.8123004370830458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E100-вересень!E100</f>
        <v>0</v>
      </c>
      <c r="N100" s="40">
        <f>F100-вересень!F100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E101-вересень!E101</f>
        <v>0</v>
      </c>
      <c r="N101" s="40">
        <f>F101-вересень!F101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838.5</v>
      </c>
      <c r="G102" s="144"/>
      <c r="H102" s="146"/>
      <c r="I102" s="145"/>
      <c r="J102" s="145"/>
      <c r="K102" s="148">
        <f>F102-647.5</f>
        <v>191</v>
      </c>
      <c r="L102" s="149">
        <f>F102/647.5</f>
        <v>1.294980694980695</v>
      </c>
      <c r="M102" s="40">
        <f>E102-вересень!E102</f>
        <v>0</v>
      </c>
      <c r="N102" s="40">
        <f>F102-вересень!F102</f>
        <v>80.10000000000002</v>
      </c>
      <c r="O102" s="53"/>
      <c r="P102" s="60"/>
      <c r="Q102" s="60">
        <f>N102-103.3</f>
        <v>-23.199999999999974</v>
      </c>
      <c r="R102" s="138">
        <f>N102/103.3</f>
        <v>0.7754114230396905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E103-вересень!E103</f>
        <v>0</v>
      </c>
      <c r="N103" s="40">
        <f>F103-вересень!F103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-43.79</v>
      </c>
      <c r="K104" s="56">
        <f>F104-63.9</f>
        <v>-50.62</v>
      </c>
      <c r="L104" s="135">
        <f>F104/63.9</f>
        <v>0.20782472613458527</v>
      </c>
      <c r="M104" s="40">
        <f>E104-вересень!E104</f>
        <v>6</v>
      </c>
      <c r="N104" s="40">
        <f>F104-вересень!F104</f>
        <v>0</v>
      </c>
      <c r="O104" s="53">
        <f aca="true" t="shared" si="35" ref="O104:O110">N104-M104</f>
        <v>-6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27.2</v>
      </c>
      <c r="F105" s="169">
        <v>21.71</v>
      </c>
      <c r="G105" s="49">
        <f>F105-E105</f>
        <v>-5.489999999999998</v>
      </c>
      <c r="H105" s="40">
        <f>F105/E105*100</f>
        <v>79.81617647058825</v>
      </c>
      <c r="I105" s="56">
        <f t="shared" si="34"/>
        <v>-23.29</v>
      </c>
      <c r="J105" s="56">
        <f aca="true" t="shared" si="36" ref="J105:J110">F105/D105*100</f>
        <v>48.24444444444445</v>
      </c>
      <c r="K105" s="56">
        <f>F105-17.2</f>
        <v>4.510000000000002</v>
      </c>
      <c r="L105" s="135">
        <f>F105/17.2</f>
        <v>1.2622093023255816</v>
      </c>
      <c r="M105" s="40">
        <f>E105-вересень!E105</f>
        <v>3</v>
      </c>
      <c r="N105" s="40">
        <f>F105-вересень!F105</f>
        <v>1.8100000000000023</v>
      </c>
      <c r="O105" s="53">
        <f t="shared" si="35"/>
        <v>-1.1899999999999977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E106-вересень!E106</f>
        <v>0</v>
      </c>
      <c r="N106" s="40">
        <f>F106-вересень!F106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404727.3399999999</v>
      </c>
      <c r="F107" s="22">
        <f>F8+F74+F105+F106</f>
        <v>399570.24</v>
      </c>
      <c r="G107" s="175">
        <f>F107-E107</f>
        <v>-5157.0999999999185</v>
      </c>
      <c r="H107" s="51">
        <f>F107/E107*100</f>
        <v>98.72578412913742</v>
      </c>
      <c r="I107" s="36">
        <f t="shared" si="34"/>
        <v>-107309.35999999999</v>
      </c>
      <c r="J107" s="36">
        <f t="shared" si="36"/>
        <v>78.82941826816467</v>
      </c>
      <c r="K107" s="36">
        <f>F107-397893.6</f>
        <v>1676.640000000014</v>
      </c>
      <c r="L107" s="136">
        <f>F107/397893.6</f>
        <v>1.0042137898171772</v>
      </c>
      <c r="M107" s="22">
        <f>M8+M74+M105+M106</f>
        <v>41164.299999999974</v>
      </c>
      <c r="N107" s="22">
        <f>N8+N74+N105+N106</f>
        <v>41500.48700000001</v>
      </c>
      <c r="O107" s="55">
        <f t="shared" si="35"/>
        <v>336.18700000003446</v>
      </c>
      <c r="P107" s="36">
        <f>N107/M107*100</f>
        <v>100.81669553472314</v>
      </c>
      <c r="Q107" s="36">
        <f>N107-39005.1</f>
        <v>2495.3870000000097</v>
      </c>
      <c r="R107" s="136">
        <f>N107/39005.1</f>
        <v>1.063975915969963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320610.6</v>
      </c>
      <c r="F108" s="71">
        <f>F10-F18+F96</f>
        <v>316887.36</v>
      </c>
      <c r="G108" s="153">
        <f>G10-G18+G96</f>
        <v>-3723.2399999999743</v>
      </c>
      <c r="H108" s="72">
        <f>F108/E108*100</f>
        <v>98.83870339907665</v>
      </c>
      <c r="I108" s="52">
        <f t="shared" si="34"/>
        <v>-71325.84000000003</v>
      </c>
      <c r="J108" s="52">
        <f t="shared" si="36"/>
        <v>81.62714714491933</v>
      </c>
      <c r="K108" s="52">
        <f>F108-303111.5</f>
        <v>13775.859999999986</v>
      </c>
      <c r="L108" s="137">
        <f>F108/303111.5</f>
        <v>1.0454481601654837</v>
      </c>
      <c r="M108" s="71">
        <f>M10-M18+M96</f>
        <v>32356.599999999977</v>
      </c>
      <c r="N108" s="71">
        <f>N10-N18+N96</f>
        <v>33491.30000000001</v>
      </c>
      <c r="O108" s="53">
        <f t="shared" si="35"/>
        <v>1134.7000000000335</v>
      </c>
      <c r="P108" s="52">
        <f>N108/M108*100</f>
        <v>103.50685795170085</v>
      </c>
      <c r="Q108" s="52">
        <f>N108-29552.7</f>
        <v>3938.6000000000095</v>
      </c>
      <c r="R108" s="137">
        <f>N108/29552.7</f>
        <v>1.1332737787071911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84116.73999999993</v>
      </c>
      <c r="F109" s="71">
        <f>F107-F108</f>
        <v>82682.88</v>
      </c>
      <c r="G109" s="176">
        <f>F109-E109</f>
        <v>-1433.8599999999278</v>
      </c>
      <c r="H109" s="72">
        <f>F109/E109*100</f>
        <v>98.29539280766238</v>
      </c>
      <c r="I109" s="52">
        <f t="shared" si="34"/>
        <v>-35983.51999999996</v>
      </c>
      <c r="J109" s="52">
        <f t="shared" si="36"/>
        <v>69.67674084660867</v>
      </c>
      <c r="K109" s="52">
        <f>F109-94782.1</f>
        <v>-12099.220000000001</v>
      </c>
      <c r="L109" s="137">
        <f>F109/94782.1</f>
        <v>0.8723469937889116</v>
      </c>
      <c r="M109" s="71">
        <f>M107-M108</f>
        <v>8807.699999999997</v>
      </c>
      <c r="N109" s="71">
        <f>N107-N108</f>
        <v>8009.186999999998</v>
      </c>
      <c r="O109" s="53">
        <f t="shared" si="35"/>
        <v>-798.512999999999</v>
      </c>
      <c r="P109" s="52">
        <f>N109/M109*100</f>
        <v>90.93392145509044</v>
      </c>
      <c r="Q109" s="52">
        <f>N109-9452.4</f>
        <v>-1443.2130000000016</v>
      </c>
      <c r="R109" s="137">
        <f>N109/9452.4</f>
        <v>0.8473178240446869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315240.7</v>
      </c>
      <c r="F110" s="71">
        <f>F108</f>
        <v>316887.36</v>
      </c>
      <c r="G110" s="111">
        <f>F110-E110</f>
        <v>1646.6599999999744</v>
      </c>
      <c r="H110" s="72">
        <f>F110/E110*100</f>
        <v>100.52235006456971</v>
      </c>
      <c r="I110" s="81">
        <f t="shared" si="34"/>
        <v>-71325.84000000003</v>
      </c>
      <c r="J110" s="52">
        <f t="shared" si="36"/>
        <v>81.62714714491933</v>
      </c>
      <c r="K110" s="52"/>
      <c r="L110" s="137"/>
      <c r="M110" s="72">
        <f>E110-вересень!E110</f>
        <v>32356.600000000035</v>
      </c>
      <c r="N110" s="71">
        <f>N108</f>
        <v>33491.30000000001</v>
      </c>
      <c r="O110" s="63">
        <f t="shared" si="35"/>
        <v>1134.6999999999753</v>
      </c>
      <c r="P110" s="52">
        <f>N110/M110*100</f>
        <v>103.50685795170065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283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-0.04</v>
      </c>
      <c r="G114" s="49">
        <f aca="true" t="shared" si="37" ref="G114:G126">F114-E114</f>
        <v>-0.04</v>
      </c>
      <c r="H114" s="40"/>
      <c r="I114" s="60">
        <f aca="true" t="shared" si="38" ref="I114:I125">F114-D114</f>
        <v>-0.04</v>
      </c>
      <c r="J114" s="60"/>
      <c r="K114" s="60">
        <f>F114-21.5</f>
        <v>-21.54</v>
      </c>
      <c r="L114" s="138">
        <f>F114/21.5</f>
        <v>-0.0018604651162790699</v>
      </c>
      <c r="M114" s="40">
        <f>E114-вересень!E114</f>
        <v>0</v>
      </c>
      <c r="N114" s="40">
        <f>F114-вересень!F114</f>
        <v>0.1</v>
      </c>
      <c r="O114" s="53"/>
      <c r="P114" s="60"/>
      <c r="Q114" s="60">
        <f>N114-0.9</f>
        <v>-0.8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3007</v>
      </c>
      <c r="F115" s="174">
        <v>1318.55</v>
      </c>
      <c r="G115" s="49">
        <f t="shared" si="37"/>
        <v>-1688.45</v>
      </c>
      <c r="H115" s="40">
        <f aca="true" t="shared" si="39" ref="H115:H126">F115/E115*100</f>
        <v>43.849351513136014</v>
      </c>
      <c r="I115" s="60">
        <f t="shared" si="38"/>
        <v>-2352.95</v>
      </c>
      <c r="J115" s="60">
        <f aca="true" t="shared" si="40" ref="J115:J121">F115/D115*100</f>
        <v>35.913114530845704</v>
      </c>
      <c r="K115" s="60">
        <f>F115-3128</f>
        <v>-1809.45</v>
      </c>
      <c r="L115" s="138">
        <f>F115/3128</f>
        <v>0.42153132992327363</v>
      </c>
      <c r="M115" s="40">
        <f>E115-вересень!E115</f>
        <v>327.4000000000001</v>
      </c>
      <c r="N115" s="40">
        <f>F115-вересень!F115</f>
        <v>195.6199999999999</v>
      </c>
      <c r="O115" s="53">
        <f aca="true" t="shared" si="41" ref="O115:O126">N115-M115</f>
        <v>-131.7800000000002</v>
      </c>
      <c r="P115" s="60">
        <f>N115/M115*100</f>
        <v>59.74954184483807</v>
      </c>
      <c r="Q115" s="60">
        <f>N115-50.4</f>
        <v>145.21999999999989</v>
      </c>
      <c r="R115" s="138">
        <f>N115/50.4</f>
        <v>3.881349206349204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222.5</v>
      </c>
      <c r="F116" s="172">
        <v>263.25</v>
      </c>
      <c r="G116" s="49">
        <f t="shared" si="37"/>
        <v>40.75</v>
      </c>
      <c r="H116" s="40">
        <f t="shared" si="39"/>
        <v>118.31460674157303</v>
      </c>
      <c r="I116" s="60">
        <f t="shared" si="38"/>
        <v>-4.850000000000023</v>
      </c>
      <c r="J116" s="60">
        <f t="shared" si="40"/>
        <v>98.19097351734428</v>
      </c>
      <c r="K116" s="60">
        <f>F116-231.4</f>
        <v>31.849999999999994</v>
      </c>
      <c r="L116" s="138">
        <f>F116/231.4</f>
        <v>1.1376404494382022</v>
      </c>
      <c r="M116" s="40">
        <f>E116-вересень!E116</f>
        <v>22</v>
      </c>
      <c r="N116" s="40">
        <f>F116-вересень!F116</f>
        <v>26.090000000000003</v>
      </c>
      <c r="O116" s="53">
        <f t="shared" si="41"/>
        <v>4.090000000000003</v>
      </c>
      <c r="P116" s="60">
        <f>N116/M116*100</f>
        <v>118.59090909090911</v>
      </c>
      <c r="Q116" s="60">
        <f>N116-21.4</f>
        <v>4.690000000000005</v>
      </c>
      <c r="R116" s="138">
        <f>N116/21.4</f>
        <v>1.2191588785046732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3229.5</v>
      </c>
      <c r="F117" s="173">
        <f>SUM(F114:F116)</f>
        <v>1581.76</v>
      </c>
      <c r="G117" s="62">
        <f t="shared" si="37"/>
        <v>-1647.74</v>
      </c>
      <c r="H117" s="72">
        <f t="shared" si="39"/>
        <v>48.97847964081127</v>
      </c>
      <c r="I117" s="61">
        <f t="shared" si="38"/>
        <v>-2357.84</v>
      </c>
      <c r="J117" s="61">
        <f t="shared" si="40"/>
        <v>40.15026906284902</v>
      </c>
      <c r="K117" s="61">
        <f>F117-33371</f>
        <v>-31789.24</v>
      </c>
      <c r="L117" s="139">
        <f>F117/3371</f>
        <v>0.46922574903589437</v>
      </c>
      <c r="M117" s="62">
        <f>M115+M116+M114</f>
        <v>349.4000000000001</v>
      </c>
      <c r="N117" s="38">
        <f>SUM(N114:N116)</f>
        <v>221.8099999999999</v>
      </c>
      <c r="O117" s="61">
        <f t="shared" si="41"/>
        <v>-127.5900000000002</v>
      </c>
      <c r="P117" s="61">
        <f>N117/M117*100</f>
        <v>63.483113909559194</v>
      </c>
      <c r="Q117" s="61">
        <f>N117-71.8</f>
        <v>150.00999999999988</v>
      </c>
      <c r="R117" s="139">
        <f>N117/71.8</f>
        <v>3.0892757660167116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437</v>
      </c>
      <c r="G119" s="49">
        <f t="shared" si="37"/>
        <v>176.5</v>
      </c>
      <c r="H119" s="40">
        <f t="shared" si="39"/>
        <v>167.75431861804222</v>
      </c>
      <c r="I119" s="60">
        <f t="shared" si="38"/>
        <v>169.8</v>
      </c>
      <c r="J119" s="60">
        <f t="shared" si="40"/>
        <v>163.54790419161677</v>
      </c>
      <c r="K119" s="60">
        <f>F119-234.2</f>
        <v>202.8</v>
      </c>
      <c r="L119" s="138">
        <f>F119/234.2</f>
        <v>1.8659265584970113</v>
      </c>
      <c r="M119" s="40">
        <f>E119-вересень!E119</f>
        <v>73</v>
      </c>
      <c r="N119" s="40">
        <f>F119-вересень!F119</f>
        <v>122.85000000000002</v>
      </c>
      <c r="O119" s="53">
        <f>N119-M119</f>
        <v>49.85000000000002</v>
      </c>
      <c r="P119" s="60">
        <f>N119/M119*100</f>
        <v>168.28767123287673</v>
      </c>
      <c r="Q119" s="60">
        <f>N119-59.7</f>
        <v>63.15000000000002</v>
      </c>
      <c r="R119" s="138">
        <f>N119/59.7</f>
        <v>2.0577889447236184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60012.6</v>
      </c>
      <c r="F120" s="174">
        <v>67857.28</v>
      </c>
      <c r="G120" s="49">
        <f t="shared" si="37"/>
        <v>7844.68</v>
      </c>
      <c r="H120" s="40">
        <f t="shared" si="39"/>
        <v>113.0717216051296</v>
      </c>
      <c r="I120" s="53">
        <f t="shared" si="38"/>
        <v>-4118.710000000006</v>
      </c>
      <c r="J120" s="60">
        <f t="shared" si="40"/>
        <v>94.27766120340962</v>
      </c>
      <c r="K120" s="60">
        <f>F120-58190.1</f>
        <v>9667.18</v>
      </c>
      <c r="L120" s="138">
        <f>F120/58190.1</f>
        <v>1.1661310085392533</v>
      </c>
      <c r="M120" s="40">
        <f>E120-вересень!E120</f>
        <v>7500</v>
      </c>
      <c r="N120" s="40">
        <f>F120-вересень!F120</f>
        <v>8320.82</v>
      </c>
      <c r="O120" s="53">
        <f t="shared" si="41"/>
        <v>820.8199999999997</v>
      </c>
      <c r="P120" s="60">
        <f aca="true" t="shared" si="42" ref="P120:P125">N120/M120*100</f>
        <v>110.94426666666666</v>
      </c>
      <c r="Q120" s="60">
        <f>N120-7531</f>
        <v>789.8199999999997</v>
      </c>
      <c r="R120" s="138">
        <f>N120/7531</f>
        <v>1.1048758465011286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3199.4</v>
      </c>
      <c r="F121" s="174">
        <v>1754.79</v>
      </c>
      <c r="G121" s="49">
        <f t="shared" si="37"/>
        <v>-1444.6100000000001</v>
      </c>
      <c r="H121" s="40">
        <f t="shared" si="39"/>
        <v>54.847471400887656</v>
      </c>
      <c r="I121" s="60">
        <f t="shared" si="38"/>
        <v>-2995.21</v>
      </c>
      <c r="J121" s="60">
        <f t="shared" si="40"/>
        <v>36.94294736842105</v>
      </c>
      <c r="K121" s="60">
        <f>F121-1289.6</f>
        <v>465.19000000000005</v>
      </c>
      <c r="L121" s="138">
        <f>F121/1289.6</f>
        <v>1.3607242555831267</v>
      </c>
      <c r="M121" s="40">
        <f>E121-вересень!E121</f>
        <v>1476.4</v>
      </c>
      <c r="N121" s="40">
        <f>F121-вересень!F121</f>
        <v>0.05999999999994543</v>
      </c>
      <c r="O121" s="53">
        <f t="shared" si="41"/>
        <v>-1476.3400000000001</v>
      </c>
      <c r="P121" s="60">
        <f t="shared" si="42"/>
        <v>0.004063939311835914</v>
      </c>
      <c r="Q121" s="60">
        <f>N121-0</f>
        <v>0.05999999999994543</v>
      </c>
      <c r="R121" s="138" t="e">
        <f>N121/0</f>
        <v>#DIV/0!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17576.23</v>
      </c>
      <c r="F122" s="174">
        <v>2762.1</v>
      </c>
      <c r="G122" s="49">
        <f t="shared" si="37"/>
        <v>-14814.13</v>
      </c>
      <c r="H122" s="40">
        <f t="shared" si="39"/>
        <v>15.71497414405706</v>
      </c>
      <c r="I122" s="60">
        <f t="shared" si="38"/>
        <v>-20315.030000000002</v>
      </c>
      <c r="J122" s="60">
        <f>F122/D122*100</f>
        <v>11.96899267803232</v>
      </c>
      <c r="K122" s="60">
        <f>F122-22665.8</f>
        <v>-19903.7</v>
      </c>
      <c r="L122" s="138">
        <f>F122/22665.8</f>
        <v>0.12186201237106124</v>
      </c>
      <c r="M122" s="40">
        <f>E122-вересень!E122</f>
        <v>4648.800000000001</v>
      </c>
      <c r="N122" s="40">
        <f>F122-вересень!F122</f>
        <v>368.8600000000001</v>
      </c>
      <c r="O122" s="53">
        <f t="shared" si="41"/>
        <v>-4279.9400000000005</v>
      </c>
      <c r="P122" s="60">
        <f t="shared" si="42"/>
        <v>7.934520736534161</v>
      </c>
      <c r="Q122" s="60">
        <f>N122-361.9</f>
        <v>6.96000000000015</v>
      </c>
      <c r="R122" s="138">
        <f>N122/361.9</f>
        <v>1.0192318319977898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1620.81</v>
      </c>
      <c r="F123" s="174">
        <v>1134.02</v>
      </c>
      <c r="G123" s="49">
        <f t="shared" si="37"/>
        <v>-486.78999999999996</v>
      </c>
      <c r="H123" s="40">
        <f t="shared" si="39"/>
        <v>69.96625144218015</v>
      </c>
      <c r="I123" s="60">
        <f t="shared" si="38"/>
        <v>-865.98</v>
      </c>
      <c r="J123" s="60">
        <f>F123/D123*100</f>
        <v>56.701</v>
      </c>
      <c r="K123" s="60">
        <f>F123-1722.8</f>
        <v>-588.78</v>
      </c>
      <c r="L123" s="138">
        <f>F123/1722.8</f>
        <v>0.6582423960993731</v>
      </c>
      <c r="M123" s="40">
        <f>E123-вересень!E123</f>
        <v>189.58999999999992</v>
      </c>
      <c r="N123" s="40">
        <f>F123-вересень!F123</f>
        <v>59.1099999999999</v>
      </c>
      <c r="O123" s="53">
        <f t="shared" si="41"/>
        <v>-130.48000000000002</v>
      </c>
      <c r="P123" s="60">
        <f t="shared" si="42"/>
        <v>31.177804736536697</v>
      </c>
      <c r="Q123" s="60">
        <f>N123-62.5</f>
        <v>-3.3900000000001</v>
      </c>
      <c r="R123" s="138">
        <f>N123/62.5</f>
        <v>0.9457599999999984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82669.54</v>
      </c>
      <c r="F124" s="173">
        <f>F120+F121+F122+F123+F119</f>
        <v>73945.19</v>
      </c>
      <c r="G124" s="62">
        <f t="shared" si="37"/>
        <v>-8724.349999999991</v>
      </c>
      <c r="H124" s="72">
        <f t="shared" si="39"/>
        <v>89.44671761812151</v>
      </c>
      <c r="I124" s="61">
        <f t="shared" si="38"/>
        <v>-28125.130000000005</v>
      </c>
      <c r="J124" s="61">
        <f>F124/D124*100</f>
        <v>72.4453396442766</v>
      </c>
      <c r="K124" s="61">
        <f>F124-84102.5</f>
        <v>-10157.309999999998</v>
      </c>
      <c r="L124" s="139">
        <f>F124/84102.5</f>
        <v>0.8792270146547368</v>
      </c>
      <c r="M124" s="62">
        <f>M120+M121+M122+M123+M119</f>
        <v>13887.79</v>
      </c>
      <c r="N124" s="62">
        <f>N120+N121+N122+N123+N119</f>
        <v>8871.7</v>
      </c>
      <c r="O124" s="61">
        <f t="shared" si="41"/>
        <v>-5016.09</v>
      </c>
      <c r="P124" s="61">
        <f t="shared" si="42"/>
        <v>63.881294288004064</v>
      </c>
      <c r="Q124" s="61">
        <f>N124-8015.1</f>
        <v>856.6000000000004</v>
      </c>
      <c r="R124" s="139">
        <f>N124/8015.1</f>
        <v>1.1068732766902472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31.16</v>
      </c>
      <c r="F125" s="174">
        <v>35.01</v>
      </c>
      <c r="G125" s="49">
        <f t="shared" si="37"/>
        <v>3.849999999999998</v>
      </c>
      <c r="H125" s="40">
        <f t="shared" si="39"/>
        <v>112.3555840821566</v>
      </c>
      <c r="I125" s="60">
        <f t="shared" si="38"/>
        <v>-8.490000000000002</v>
      </c>
      <c r="J125" s="60">
        <f>F125/D125*100</f>
        <v>80.48275862068965</v>
      </c>
      <c r="K125" s="60">
        <f>F125-114</f>
        <v>-78.99000000000001</v>
      </c>
      <c r="L125" s="138">
        <f>F125/114</f>
        <v>0.3071052631578947</v>
      </c>
      <c r="M125" s="40">
        <f>E125-вересень!E125</f>
        <v>4</v>
      </c>
      <c r="N125" s="40">
        <f>F125-вересень!F125</f>
        <v>10.839999999999996</v>
      </c>
      <c r="O125" s="53">
        <f t="shared" si="41"/>
        <v>6.839999999999996</v>
      </c>
      <c r="P125" s="60">
        <f t="shared" si="42"/>
        <v>270.9999999999999</v>
      </c>
      <c r="Q125" s="60">
        <f>N125-2.2</f>
        <v>8.639999999999997</v>
      </c>
      <c r="R125" s="138">
        <f>N125/2.2</f>
        <v>4.927272727272725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F127-17.2</f>
        <v>2.280000000000001</v>
      </c>
      <c r="L127" s="138">
        <f>F127/17.2</f>
        <v>1.1325581395348838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N127-8.7</f>
        <v>-8.7</v>
      </c>
      <c r="R127" s="162">
        <f>N127/8.7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6720.5</v>
      </c>
      <c r="F128" s="174">
        <v>7378.96</v>
      </c>
      <c r="G128" s="49">
        <f aca="true" t="shared" si="43" ref="G128:G135">F128-E128</f>
        <v>658.46</v>
      </c>
      <c r="H128" s="40">
        <f>F128/E128*100</f>
        <v>109.79778290305782</v>
      </c>
      <c r="I128" s="60">
        <f aca="true" t="shared" si="44" ref="I128:I135">F128-D128</f>
        <v>-1321.04</v>
      </c>
      <c r="J128" s="60">
        <f>F128/D128*100</f>
        <v>84.81563218390805</v>
      </c>
      <c r="K128" s="60">
        <f>F128-8728.7</f>
        <v>-1349.7400000000007</v>
      </c>
      <c r="L128" s="138">
        <f>F128/8728.7</f>
        <v>0.8453675805102706</v>
      </c>
      <c r="M128" s="40">
        <f>E128-вересень!E128</f>
        <v>2</v>
      </c>
      <c r="N128" s="40">
        <f>F128-вересень!F128</f>
        <v>10.079999999999927</v>
      </c>
      <c r="O128" s="53">
        <f aca="true" t="shared" si="45" ref="O128:O135">N128-M128</f>
        <v>8.079999999999927</v>
      </c>
      <c r="P128" s="60">
        <f>N128/M128*100</f>
        <v>503.99999999999636</v>
      </c>
      <c r="Q128" s="60">
        <f>N128-13.5</f>
        <v>-3.4200000000000728</v>
      </c>
      <c r="R128" s="162">
        <f>N128/13.5</f>
        <v>0.7466666666666613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1.29</v>
      </c>
      <c r="G129" s="49">
        <f t="shared" si="43"/>
        <v>1.29</v>
      </c>
      <c r="H129" s="40"/>
      <c r="I129" s="60">
        <f t="shared" si="44"/>
        <v>1.29</v>
      </c>
      <c r="J129" s="60"/>
      <c r="K129" s="60">
        <f>F129-1.1</f>
        <v>0.18999999999999995</v>
      </c>
      <c r="L129" s="138">
        <f>F129/1.1</f>
        <v>1.1727272727272726</v>
      </c>
      <c r="M129" s="40">
        <f>E129-вересень!E129</f>
        <v>0</v>
      </c>
      <c r="N129" s="40">
        <f>F129-вересень!F129</f>
        <v>0.20999999999999996</v>
      </c>
      <c r="O129" s="53">
        <f t="shared" si="45"/>
        <v>0.20999999999999996</v>
      </c>
      <c r="P129" s="60"/>
      <c r="Q129" s="60">
        <f>N129-0.1</f>
        <v>0.10999999999999996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6758.86</v>
      </c>
      <c r="F130" s="173">
        <f>F128+F125+F129+F127</f>
        <v>7434.74</v>
      </c>
      <c r="G130" s="62">
        <f t="shared" si="43"/>
        <v>675.8800000000001</v>
      </c>
      <c r="H130" s="72">
        <f>F130/E130*100</f>
        <v>109.99991122763306</v>
      </c>
      <c r="I130" s="61">
        <f t="shared" si="44"/>
        <v>-1315.960000000001</v>
      </c>
      <c r="J130" s="61">
        <f>F130/D130*100</f>
        <v>84.96166021004034</v>
      </c>
      <c r="K130" s="61">
        <f>F130-8860.9</f>
        <v>-1426.1599999999999</v>
      </c>
      <c r="L130" s="139">
        <f>G130/8860.9</f>
        <v>0.0762766761841348</v>
      </c>
      <c r="M130" s="62">
        <f>M125+M128+M129+M127</f>
        <v>6</v>
      </c>
      <c r="N130" s="62">
        <f>N125+N128+N129+N127</f>
        <v>21.129999999999924</v>
      </c>
      <c r="O130" s="61">
        <f t="shared" si="45"/>
        <v>15.129999999999924</v>
      </c>
      <c r="P130" s="61">
        <f>N130/M130*100</f>
        <v>352.1666666666654</v>
      </c>
      <c r="Q130" s="61">
        <f>N130-24.5</f>
        <v>-3.3700000000000756</v>
      </c>
      <c r="R130" s="137">
        <f>N130/24.5</f>
        <v>0.8624489795918336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23.85</v>
      </c>
      <c r="F131" s="174">
        <v>33.03</v>
      </c>
      <c r="G131" s="49">
        <f>F131-E131</f>
        <v>9.18</v>
      </c>
      <c r="H131" s="40">
        <f>F131/E131*100</f>
        <v>138.49056603773585</v>
      </c>
      <c r="I131" s="60">
        <f>F131-D131</f>
        <v>3.030000000000001</v>
      </c>
      <c r="J131" s="60">
        <f>F131/D131*100</f>
        <v>110.1</v>
      </c>
      <c r="K131" s="60">
        <f>F131-28</f>
        <v>5.030000000000001</v>
      </c>
      <c r="L131" s="138">
        <f>F131/28</f>
        <v>1.1796428571428572</v>
      </c>
      <c r="M131" s="40">
        <f>E131-вересень!E131</f>
        <v>0.40000000000000213</v>
      </c>
      <c r="N131" s="40">
        <f>F131-вересень!F131</f>
        <v>1.1700000000000017</v>
      </c>
      <c r="O131" s="53">
        <f>N131-M131</f>
        <v>0.7699999999999996</v>
      </c>
      <c r="P131" s="60">
        <f>N131/M131*100</f>
        <v>292.49999999999886</v>
      </c>
      <c r="Q131" s="60">
        <f>N131-2.6</f>
        <v>-1.4299999999999984</v>
      </c>
      <c r="R131" s="138">
        <f>N131/2.6</f>
        <v>0.4500000000000006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92681.75</v>
      </c>
      <c r="F134" s="31">
        <f>F117+F131+F124+F130+F133+F132</f>
        <v>82994.72</v>
      </c>
      <c r="G134" s="50">
        <f t="shared" si="43"/>
        <v>-9687.029999999999</v>
      </c>
      <c r="H134" s="51">
        <f>F134/E134*100</f>
        <v>89.54807176170067</v>
      </c>
      <c r="I134" s="36">
        <f t="shared" si="44"/>
        <v>-31795.90000000001</v>
      </c>
      <c r="J134" s="36">
        <f>F134/D134*100</f>
        <v>72.30095978225398</v>
      </c>
      <c r="K134" s="36">
        <f>F134-96362.3</f>
        <v>-13367.580000000002</v>
      </c>
      <c r="L134" s="136">
        <f>F134/96362.3</f>
        <v>0.8612779064011548</v>
      </c>
      <c r="M134" s="31">
        <f>M117+M131+M124+M130+M133+M132</f>
        <v>14243.59</v>
      </c>
      <c r="N134" s="31">
        <f>N117+N131+N124+N130+N133+N132</f>
        <v>9115.81</v>
      </c>
      <c r="O134" s="36">
        <f t="shared" si="45"/>
        <v>-5127.780000000001</v>
      </c>
      <c r="P134" s="36">
        <f>N134/M134*100</f>
        <v>63.999384986509725</v>
      </c>
      <c r="Q134" s="36">
        <f>N134-8114</f>
        <v>1001.8099999999995</v>
      </c>
      <c r="R134" s="136">
        <f>N134/8114</f>
        <v>1.123466847424205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497409.0899999999</v>
      </c>
      <c r="F135" s="31">
        <f>F107+F134</f>
        <v>482564.95999999996</v>
      </c>
      <c r="G135" s="50">
        <f t="shared" si="43"/>
        <v>-14844.129999999946</v>
      </c>
      <c r="H135" s="51">
        <f>F135/E135*100</f>
        <v>97.01570994611298</v>
      </c>
      <c r="I135" s="36">
        <f t="shared" si="44"/>
        <v>-139105.26</v>
      </c>
      <c r="J135" s="36">
        <f>F135/D135*100</f>
        <v>77.62394666419762</v>
      </c>
      <c r="K135" s="36">
        <f>F135-494255.9</f>
        <v>-11690.94000000006</v>
      </c>
      <c r="L135" s="136">
        <f>F135/494255.9</f>
        <v>0.9763463825115692</v>
      </c>
      <c r="M135" s="22">
        <f>M107+M134</f>
        <v>55407.88999999997</v>
      </c>
      <c r="N135" s="22">
        <f>N107+N134</f>
        <v>50616.297000000006</v>
      </c>
      <c r="O135" s="36">
        <f t="shared" si="45"/>
        <v>-4791.592999999964</v>
      </c>
      <c r="P135" s="36">
        <f>N135/M135*100</f>
        <v>91.35214677909596</v>
      </c>
      <c r="Q135" s="36">
        <f>N135-47119.1</f>
        <v>3497.1970000000074</v>
      </c>
      <c r="R135" s="136">
        <f>N135/47119.1</f>
        <v>1.0742203692345569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210"/>
      <c r="H138" s="210"/>
      <c r="I138" s="210"/>
      <c r="J138" s="210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41943</v>
      </c>
      <c r="D139" s="39">
        <v>3346.7</v>
      </c>
      <c r="N139" s="211"/>
      <c r="O139" s="211"/>
    </row>
    <row r="140" spans="3:15" ht="15.75">
      <c r="C140" s="120">
        <v>41942</v>
      </c>
      <c r="D140" s="39">
        <v>4208.5</v>
      </c>
      <c r="F140" s="4" t="s">
        <v>166</v>
      </c>
      <c r="G140" s="179" t="s">
        <v>151</v>
      </c>
      <c r="H140" s="179"/>
      <c r="I140" s="115">
        <v>9020.6</v>
      </c>
      <c r="J140" s="180" t="s">
        <v>161</v>
      </c>
      <c r="K140" s="180"/>
      <c r="L140" s="180"/>
      <c r="M140" s="180"/>
      <c r="N140" s="211"/>
      <c r="O140" s="211"/>
    </row>
    <row r="141" spans="3:15" ht="15.75">
      <c r="C141" s="120">
        <v>41941</v>
      </c>
      <c r="D141" s="39">
        <v>2987.3</v>
      </c>
      <c r="G141" s="212" t="s">
        <v>155</v>
      </c>
      <c r="H141" s="212"/>
      <c r="I141" s="112">
        <v>0</v>
      </c>
      <c r="J141" s="213" t="s">
        <v>162</v>
      </c>
      <c r="K141" s="213"/>
      <c r="L141" s="213"/>
      <c r="M141" s="213"/>
      <c r="N141" s="211"/>
      <c r="O141" s="211"/>
    </row>
    <row r="142" spans="7:13" ht="15.75" customHeight="1">
      <c r="G142" s="179" t="s">
        <v>148</v>
      </c>
      <c r="H142" s="179"/>
      <c r="I142" s="112">
        <v>0</v>
      </c>
      <c r="J142" s="180" t="s">
        <v>163</v>
      </c>
      <c r="K142" s="180"/>
      <c r="L142" s="180"/>
      <c r="M142" s="180"/>
    </row>
    <row r="143" spans="2:13" ht="18.75" customHeight="1">
      <c r="B143" s="214" t="s">
        <v>160</v>
      </c>
      <c r="C143" s="215"/>
      <c r="D143" s="117">
        <v>116647.51</v>
      </c>
      <c r="E143" s="80"/>
      <c r="F143" s="100" t="s">
        <v>147</v>
      </c>
      <c r="G143" s="179" t="s">
        <v>149</v>
      </c>
      <c r="H143" s="179"/>
      <c r="I143" s="116">
        <v>107626.91</v>
      </c>
      <c r="J143" s="180" t="s">
        <v>164</v>
      </c>
      <c r="K143" s="180"/>
      <c r="L143" s="180"/>
      <c r="M143" s="180"/>
    </row>
    <row r="144" spans="7:12" ht="9.75" customHeight="1">
      <c r="G144" s="216"/>
      <c r="H144" s="216"/>
      <c r="I144" s="98"/>
      <c r="J144" s="99"/>
      <c r="K144" s="99"/>
      <c r="L144" s="99"/>
    </row>
    <row r="145" spans="2:12" ht="22.5" customHeight="1">
      <c r="B145" s="217" t="s">
        <v>169</v>
      </c>
      <c r="C145" s="218"/>
      <c r="D145" s="119">
        <v>16930.7</v>
      </c>
      <c r="E145" s="77" t="s">
        <v>104</v>
      </c>
      <c r="G145" s="216"/>
      <c r="H145" s="216"/>
      <c r="I145" s="98"/>
      <c r="J145" s="99"/>
      <c r="K145" s="99"/>
      <c r="L145" s="99"/>
    </row>
    <row r="146" spans="4:15" ht="15.75">
      <c r="D146" s="114"/>
      <c r="N146" s="216"/>
      <c r="O146" s="216"/>
    </row>
    <row r="147" spans="4:15" ht="15.75">
      <c r="D147" s="113"/>
      <c r="I147" s="39"/>
      <c r="N147" s="219"/>
      <c r="O147" s="219"/>
    </row>
    <row r="148" spans="14:15" ht="15.75">
      <c r="N148" s="216"/>
      <c r="O148" s="216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5" right="0.18" top="0.29" bottom="0.38" header="0.2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I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276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272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269</v>
      </c>
      <c r="H4" s="200" t="s">
        <v>270</v>
      </c>
      <c r="I4" s="202" t="s">
        <v>188</v>
      </c>
      <c r="J4" s="204" t="s">
        <v>189</v>
      </c>
      <c r="K4" s="206" t="s">
        <v>274</v>
      </c>
      <c r="L4" s="207"/>
      <c r="M4" s="194"/>
      <c r="N4" s="181" t="s">
        <v>277</v>
      </c>
      <c r="O4" s="202" t="s">
        <v>136</v>
      </c>
      <c r="P4" s="202" t="s">
        <v>135</v>
      </c>
      <c r="Q4" s="206" t="s">
        <v>275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268</v>
      </c>
      <c r="F5" s="197"/>
      <c r="G5" s="199"/>
      <c r="H5" s="201"/>
      <c r="I5" s="203"/>
      <c r="J5" s="205"/>
      <c r="K5" s="208"/>
      <c r="L5" s="209"/>
      <c r="M5" s="151" t="s">
        <v>271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351358.83999999997</v>
      </c>
      <c r="F8" s="22">
        <f>F10+F19+F33+F56+F68+F30</f>
        <v>348290.05000000005</v>
      </c>
      <c r="G8" s="22">
        <f aca="true" t="shared" si="0" ref="G8:G30">F8-E8</f>
        <v>-3068.789999999921</v>
      </c>
      <c r="H8" s="51">
        <f>F8/E8*100</f>
        <v>99.1265937694922</v>
      </c>
      <c r="I8" s="36">
        <f aca="true" t="shared" si="1" ref="I8:I17">F8-D8</f>
        <v>-140186.24999999994</v>
      </c>
      <c r="J8" s="36">
        <f aca="true" t="shared" si="2" ref="J8:J14">F8/D8*100</f>
        <v>71.30132004357223</v>
      </c>
      <c r="K8" s="36">
        <f>F8-344287.2</f>
        <v>4002.850000000035</v>
      </c>
      <c r="L8" s="136">
        <f>F8/344287.2</f>
        <v>1.0116264850973258</v>
      </c>
      <c r="M8" s="22">
        <f>M10+M19+M33+M56+M68+M30</f>
        <v>39345.45</v>
      </c>
      <c r="N8" s="22">
        <f>N10+N19+N33+N56+N68+N30</f>
        <v>39354.28</v>
      </c>
      <c r="O8" s="36">
        <f aca="true" t="shared" si="3" ref="O8:O71">N8-M8</f>
        <v>8.830000000001746</v>
      </c>
      <c r="P8" s="36">
        <f>F8/M8*100</f>
        <v>885.2104881250566</v>
      </c>
      <c r="Q8" s="36">
        <f>N8-37510.4</f>
        <v>1843.8799999999974</v>
      </c>
      <c r="R8" s="134">
        <f>N8/37510.4</f>
        <v>1.0491565005971677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282613.68</v>
      </c>
      <c r="G9" s="22">
        <f t="shared" si="0"/>
        <v>282613.68</v>
      </c>
      <c r="H9" s="20"/>
      <c r="I9" s="56">
        <f t="shared" si="1"/>
        <v>-104399.52000000002</v>
      </c>
      <c r="J9" s="56">
        <f t="shared" si="2"/>
        <v>73.02429994635841</v>
      </c>
      <c r="K9" s="56"/>
      <c r="L9" s="135"/>
      <c r="M9" s="20">
        <f>M10+M17</f>
        <v>32323.5</v>
      </c>
      <c r="N9" s="20">
        <f>N10+N17</f>
        <v>32335.25</v>
      </c>
      <c r="O9" s="36">
        <f t="shared" si="3"/>
        <v>11.75</v>
      </c>
      <c r="P9" s="56">
        <f>F9/M9*100</f>
        <v>874.3288319643602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282613.68</v>
      </c>
      <c r="G10" s="49">
        <f t="shared" si="0"/>
        <v>-4845.820000000007</v>
      </c>
      <c r="H10" s="40">
        <f aca="true" t="shared" si="4" ref="H10:H17">F10/E10*100</f>
        <v>98.31425992183247</v>
      </c>
      <c r="I10" s="56">
        <f t="shared" si="1"/>
        <v>-104399.52000000002</v>
      </c>
      <c r="J10" s="56">
        <f t="shared" si="2"/>
        <v>73.02429994635841</v>
      </c>
      <c r="K10" s="141">
        <f>F10-272674.4</f>
        <v>9939.27999999997</v>
      </c>
      <c r="L10" s="142">
        <f>F10/272674.4</f>
        <v>1.0364510933186246</v>
      </c>
      <c r="M10" s="40">
        <f>E10-серпень!E10</f>
        <v>32323.5</v>
      </c>
      <c r="N10" s="40">
        <f>F10-серпень!F10</f>
        <v>32335.25</v>
      </c>
      <c r="O10" s="53">
        <f t="shared" si="3"/>
        <v>11.75</v>
      </c>
      <c r="P10" s="56">
        <f aca="true" t="shared" si="5" ref="P10:P17">N10/M10*100</f>
        <v>100.03635126146611</v>
      </c>
      <c r="Q10" s="141">
        <f>N10-29967.1</f>
        <v>2368.1500000000015</v>
      </c>
      <c r="R10" s="142">
        <f>N10/29967.1</f>
        <v>1.0790249974138306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-404.47</v>
      </c>
      <c r="G19" s="49">
        <f t="shared" si="0"/>
        <v>-1461.07</v>
      </c>
      <c r="H19" s="40">
        <f aca="true" t="shared" si="6" ref="H19:H29">F19/E19*100</f>
        <v>-38.28033314404695</v>
      </c>
      <c r="I19" s="56">
        <f aca="true" t="shared" si="7" ref="I19:I29">F19-D19</f>
        <v>-1404.47</v>
      </c>
      <c r="J19" s="56">
        <f aca="true" t="shared" si="8" ref="J19:J29">F19/D19*100</f>
        <v>-40.447</v>
      </c>
      <c r="K19" s="167">
        <f>F19-6479.1</f>
        <v>-6883.570000000001</v>
      </c>
      <c r="L19" s="168">
        <f>F19/6479.1</f>
        <v>-0.06242688027658162</v>
      </c>
      <c r="M19" s="40">
        <f>E19-серпень!E19</f>
        <v>11</v>
      </c>
      <c r="N19" s="40">
        <f>F19-серпень!F19</f>
        <v>-477.18</v>
      </c>
      <c r="O19" s="53">
        <f t="shared" si="3"/>
        <v>-488.18</v>
      </c>
      <c r="P19" s="56">
        <f aca="true" t="shared" si="9" ref="P19:P29">N19/M19*100</f>
        <v>-4338</v>
      </c>
      <c r="Q19" s="56">
        <f>N19-362</f>
        <v>-839.1800000000001</v>
      </c>
      <c r="R19" s="135">
        <f>N19/362</f>
        <v>-1.3181767955801105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95.61</v>
      </c>
      <c r="G29" s="49">
        <f t="shared" si="0"/>
        <v>-700.99</v>
      </c>
      <c r="H29" s="40">
        <f t="shared" si="6"/>
        <v>12.002259603314085</v>
      </c>
      <c r="I29" s="56">
        <f t="shared" si="7"/>
        <v>-834.39</v>
      </c>
      <c r="J29" s="56">
        <f t="shared" si="8"/>
        <v>10.280645161290321</v>
      </c>
      <c r="K29" s="148">
        <f>F29-2860</f>
        <v>-2764.39</v>
      </c>
      <c r="L29" s="149">
        <f>F29/2860</f>
        <v>0.03343006993006993</v>
      </c>
      <c r="M29" s="40">
        <f>E29-серпень!E29</f>
        <v>11</v>
      </c>
      <c r="N29" s="40">
        <f>F29-серпень!F29</f>
        <v>-477.51</v>
      </c>
      <c r="O29" s="148">
        <f t="shared" si="3"/>
        <v>-488.51</v>
      </c>
      <c r="P29" s="145">
        <f t="shared" si="9"/>
        <v>-4341</v>
      </c>
      <c r="Q29" s="148">
        <f>N29-361.95</f>
        <v>-839.46</v>
      </c>
      <c r="R29" s="149">
        <f>N29/361.95</f>
        <v>-1.3192706174886035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57702.14</v>
      </c>
      <c r="F33" s="169">
        <v>61232.46</v>
      </c>
      <c r="G33" s="49">
        <f aca="true" t="shared" si="14" ref="G33:G72">F33-E33</f>
        <v>3530.3199999999997</v>
      </c>
      <c r="H33" s="40">
        <f aca="true" t="shared" si="15" ref="H33:H67">F33/E33*100</f>
        <v>106.11817863254291</v>
      </c>
      <c r="I33" s="56">
        <f>F33-D33</f>
        <v>-32333.54</v>
      </c>
      <c r="J33" s="56">
        <f aca="true" t="shared" si="16" ref="J33:J72">F33/D33*100</f>
        <v>65.44306692602014</v>
      </c>
      <c r="K33" s="141">
        <f>F33-60413.2</f>
        <v>819.260000000002</v>
      </c>
      <c r="L33" s="142">
        <f>F33/60413.2</f>
        <v>1.0135609436348347</v>
      </c>
      <c r="M33" s="40">
        <f>E33-серпень!E33</f>
        <v>6401.3499999999985</v>
      </c>
      <c r="N33" s="40">
        <f>F33-серпень!F33</f>
        <v>6939.720000000001</v>
      </c>
      <c r="O33" s="53">
        <f t="shared" si="3"/>
        <v>538.3700000000026</v>
      </c>
      <c r="P33" s="56">
        <f aca="true" t="shared" si="17" ref="P33:P67">N33/M33*100</f>
        <v>108.41025721136953</v>
      </c>
      <c r="Q33" s="141">
        <f>N33-6624.9</f>
        <v>314.8200000000015</v>
      </c>
      <c r="R33" s="142">
        <f>N33/6624.9</f>
        <v>1.047520717293846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45421.4</v>
      </c>
      <c r="G55" s="144">
        <f t="shared" si="14"/>
        <v>2949.560000000005</v>
      </c>
      <c r="H55" s="146">
        <f t="shared" si="15"/>
        <v>106.94474268126835</v>
      </c>
      <c r="I55" s="145">
        <f t="shared" si="18"/>
        <v>-24844.6</v>
      </c>
      <c r="J55" s="145">
        <f t="shared" si="16"/>
        <v>64.64207440298296</v>
      </c>
      <c r="K55" s="148">
        <f>F55-43813.51</f>
        <v>1607.8899999999994</v>
      </c>
      <c r="L55" s="149">
        <f>F55/43813.51</f>
        <v>1.0366984977921194</v>
      </c>
      <c r="M55" s="40">
        <f>E55-серпень!E55</f>
        <v>4681.3499999999985</v>
      </c>
      <c r="N55" s="40">
        <f>F55-серпень!F55</f>
        <v>5281.130000000005</v>
      </c>
      <c r="O55" s="148">
        <f t="shared" si="3"/>
        <v>599.7800000000061</v>
      </c>
      <c r="P55" s="148">
        <f t="shared" si="17"/>
        <v>112.81211616307276</v>
      </c>
      <c r="Q55" s="160">
        <f>N55-4961.43</f>
        <v>319.70000000000437</v>
      </c>
      <c r="R55" s="161">
        <f>N55/7961.43</f>
        <v>0.6633393749615338</v>
      </c>
    </row>
    <row r="56" spans="1:18" s="6" customFormat="1" ht="30" customHeight="1">
      <c r="A56" s="8"/>
      <c r="B56" s="15" t="s">
        <v>53</v>
      </c>
      <c r="C56" s="177" t="s">
        <v>284</v>
      </c>
      <c r="D56" s="41">
        <v>6860</v>
      </c>
      <c r="E56" s="41">
        <v>5113.5</v>
      </c>
      <c r="F56" s="169">
        <f>1.51+4842.02</f>
        <v>4843.530000000001</v>
      </c>
      <c r="G56" s="49">
        <f t="shared" si="14"/>
        <v>-269.96999999999935</v>
      </c>
      <c r="H56" s="40">
        <f t="shared" si="15"/>
        <v>94.72044587855677</v>
      </c>
      <c r="I56" s="56">
        <f t="shared" si="18"/>
        <v>-2016.4699999999993</v>
      </c>
      <c r="J56" s="56">
        <f t="shared" si="16"/>
        <v>70.60539358600583</v>
      </c>
      <c r="K56" s="56">
        <f>F56-4694.5</f>
        <v>149.03000000000065</v>
      </c>
      <c r="L56" s="135">
        <f>F56/4694.5</f>
        <v>1.0317456598146768</v>
      </c>
      <c r="M56" s="40">
        <f>E56-серпень!E56</f>
        <v>609.6000000000004</v>
      </c>
      <c r="N56" s="40">
        <f>F56-серпень!F56</f>
        <v>556.2400000000007</v>
      </c>
      <c r="O56" s="53">
        <f t="shared" si="3"/>
        <v>-53.35999999999967</v>
      </c>
      <c r="P56" s="56">
        <f t="shared" si="17"/>
        <v>91.24671916010504</v>
      </c>
      <c r="Q56" s="56">
        <f>N56-556.2</f>
        <v>0.04000000000064574</v>
      </c>
      <c r="R56" s="135">
        <f>N56/556.2</f>
        <v>1.0000719165767722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F68-1</f>
        <v>0.54</v>
      </c>
      <c r="L68" s="135"/>
      <c r="M68" s="40">
        <f>E68-серпень!E68</f>
        <v>0</v>
      </c>
      <c r="N68" s="40">
        <f>F68-серпень!F68</f>
        <v>0.25</v>
      </c>
      <c r="O68" s="53">
        <f t="shared" si="3"/>
        <v>0.25</v>
      </c>
      <c r="P68" s="56"/>
      <c r="Q68" s="56">
        <f>N68-0.3</f>
        <v>-0.04999999999999999</v>
      </c>
      <c r="R68" s="135">
        <f>N68/0.3</f>
        <v>0.8333333333333334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9759.433</v>
      </c>
      <c r="G74" s="50">
        <f aca="true" t="shared" si="24" ref="G74:G92">F74-E74</f>
        <v>-2420.566999999999</v>
      </c>
      <c r="H74" s="51">
        <f aca="true" t="shared" si="25" ref="H74:H87">F74/E74*100</f>
        <v>80.12670771756979</v>
      </c>
      <c r="I74" s="36">
        <f aca="true" t="shared" si="26" ref="I74:I92">F74-D74</f>
        <v>-8598.866999999998</v>
      </c>
      <c r="J74" s="36">
        <f aca="true" t="shared" si="27" ref="J74:J92">F74/D74*100</f>
        <v>53.16087546232495</v>
      </c>
      <c r="K74" s="36">
        <f>F74-14585.4</f>
        <v>-4825.966999999999</v>
      </c>
      <c r="L74" s="136">
        <f>F74/14585.4</f>
        <v>0.6691234385070002</v>
      </c>
      <c r="M74" s="22">
        <f>M77+M86+M88+M89+M94+M95+M96+M97+M99+M87+M104</f>
        <v>1580.5</v>
      </c>
      <c r="N74" s="22">
        <f>N77+N86+N88+N89+N94+N95+N96+N97+N99+N32+N104+N87+N103</f>
        <v>1149.703</v>
      </c>
      <c r="O74" s="55">
        <f aca="true" t="shared" si="28" ref="O74:O92">N74-M74</f>
        <v>-430.797</v>
      </c>
      <c r="P74" s="36">
        <f>N74/M74*100</f>
        <v>72.74299272382157</v>
      </c>
      <c r="Q74" s="36">
        <f>N74-1622.9</f>
        <v>-473.1970000000001</v>
      </c>
      <c r="R74" s="136">
        <f>N74/1622.9</f>
        <v>0.7084250415922114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272.25</v>
      </c>
      <c r="G87" s="49">
        <f t="shared" si="24"/>
        <v>52.25</v>
      </c>
      <c r="H87" s="40">
        <f t="shared" si="25"/>
        <v>123.75</v>
      </c>
      <c r="I87" s="56">
        <f t="shared" si="26"/>
        <v>-227.75</v>
      </c>
      <c r="J87" s="56">
        <f t="shared" si="27"/>
        <v>54.449999999999996</v>
      </c>
      <c r="K87" s="56">
        <f>F87-210.3</f>
        <v>61.94999999999999</v>
      </c>
      <c r="L87" s="135">
        <f>F87/210.3</f>
        <v>1.2945791726105562</v>
      </c>
      <c r="M87" s="40">
        <f>E87-серпень!E87</f>
        <v>0</v>
      </c>
      <c r="N87" s="40">
        <f>F87-серпень!F87</f>
        <v>16.47999999999999</v>
      </c>
      <c r="O87" s="53">
        <f t="shared" si="28"/>
        <v>16.47999999999999</v>
      </c>
      <c r="P87" s="56" t="e">
        <f t="shared" si="29"/>
        <v>#DIV/0!</v>
      </c>
      <c r="Q87" s="56">
        <f>N87-12.4</f>
        <v>4.079999999999989</v>
      </c>
      <c r="R87" s="135">
        <f>N87/12.4</f>
        <v>1.3290322580645153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97.95</v>
      </c>
      <c r="G89" s="49">
        <f t="shared" si="24"/>
        <v>-31.049999999999997</v>
      </c>
      <c r="H89" s="40">
        <f>F89/E89*100</f>
        <v>75.93023255813954</v>
      </c>
      <c r="I89" s="56">
        <f t="shared" si="26"/>
        <v>-77.05</v>
      </c>
      <c r="J89" s="56">
        <f t="shared" si="27"/>
        <v>55.971428571428575</v>
      </c>
      <c r="K89" s="56">
        <f>F89-123.2</f>
        <v>-25.25</v>
      </c>
      <c r="L89" s="135">
        <f>F89/123.2</f>
        <v>0.7950487012987013</v>
      </c>
      <c r="M89" s="40">
        <f>E89-серпень!E89</f>
        <v>15</v>
      </c>
      <c r="N89" s="40">
        <f>F89-серпень!F89</f>
        <v>15.590000000000003</v>
      </c>
      <c r="O89" s="53">
        <f t="shared" si="28"/>
        <v>0.5900000000000034</v>
      </c>
      <c r="P89" s="56">
        <f>N89/M89*100</f>
        <v>103.93333333333337</v>
      </c>
      <c r="Q89" s="56">
        <f>N89-14.8</f>
        <v>0.7900000000000027</v>
      </c>
      <c r="R89" s="135">
        <f>N89/14.8</f>
        <v>1.0533783783783786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782.38</v>
      </c>
      <c r="G96" s="49">
        <f t="shared" si="31"/>
        <v>-12.120000000000005</v>
      </c>
      <c r="H96" s="40">
        <f>F96/E96*100</f>
        <v>98.4745122718691</v>
      </c>
      <c r="I96" s="56">
        <f t="shared" si="32"/>
        <v>-417.62</v>
      </c>
      <c r="J96" s="56">
        <f>F96/D96*100</f>
        <v>65.19833333333334</v>
      </c>
      <c r="K96" s="56">
        <f>F96-795.5</f>
        <v>-13.120000000000005</v>
      </c>
      <c r="L96" s="135">
        <f>F96/795.5</f>
        <v>0.983507228158391</v>
      </c>
      <c r="M96" s="40">
        <f>E96-серпень!E96</f>
        <v>100</v>
      </c>
      <c r="N96" s="40">
        <f>F96-серпень!F96</f>
        <v>96.72000000000003</v>
      </c>
      <c r="O96" s="53">
        <f t="shared" si="33"/>
        <v>-3.2799999999999727</v>
      </c>
      <c r="P96" s="56">
        <f>N96/M96*100</f>
        <v>96.72000000000003</v>
      </c>
      <c r="Q96" s="56">
        <f>N96-102.1</f>
        <v>-5.379999999999967</v>
      </c>
      <c r="R96" s="135">
        <f>N96/102.1</f>
        <v>0.9473065621939278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3093.833</v>
      </c>
      <c r="G99" s="49">
        <f t="shared" si="31"/>
        <v>86.83300000000008</v>
      </c>
      <c r="H99" s="40">
        <f>F99/E99*100</f>
        <v>102.88769537745262</v>
      </c>
      <c r="I99" s="56">
        <f t="shared" si="32"/>
        <v>-1478.8669999999997</v>
      </c>
      <c r="J99" s="56">
        <f>F99/D99*100</f>
        <v>67.65877927701358</v>
      </c>
      <c r="K99" s="56">
        <f>F99-3411.3</f>
        <v>-317.4670000000001</v>
      </c>
      <c r="L99" s="135">
        <f>F99/3411.3</f>
        <v>0.9069366517163544</v>
      </c>
      <c r="M99" s="40">
        <f>E99-серпень!E99</f>
        <v>410</v>
      </c>
      <c r="N99" s="40">
        <f>F99-серпень!F99</f>
        <v>391.17300000000023</v>
      </c>
      <c r="O99" s="53">
        <f t="shared" si="33"/>
        <v>-18.82699999999977</v>
      </c>
      <c r="P99" s="56">
        <f>N99/M99*100</f>
        <v>95.40804878048786</v>
      </c>
      <c r="Q99" s="56">
        <f>N99-432.2</f>
        <v>-41.02699999999976</v>
      </c>
      <c r="R99" s="135">
        <f>N99/432.2</f>
        <v>0.9050740397963911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758.4</v>
      </c>
      <c r="G102" s="144"/>
      <c r="H102" s="146"/>
      <c r="I102" s="145"/>
      <c r="J102" s="145"/>
      <c r="K102" s="148">
        <f>F102-545.2</f>
        <v>213.19999999999993</v>
      </c>
      <c r="L102" s="149">
        <f>F102/545.2</f>
        <v>1.3910491562729272</v>
      </c>
      <c r="M102" s="40">
        <f>E102-серпень!E102</f>
        <v>0</v>
      </c>
      <c r="N102" s="40">
        <f>F102-серпень!F102</f>
        <v>122.60000000000002</v>
      </c>
      <c r="O102" s="53"/>
      <c r="P102" s="60"/>
      <c r="Q102" s="60">
        <f>N102-124.1</f>
        <v>-1.4999999999999716</v>
      </c>
      <c r="R102" s="138">
        <f>N102/124.1</f>
        <v>0.9879129734085417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-45.6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19.9</v>
      </c>
      <c r="G105" s="49">
        <f>F105-E105</f>
        <v>-4.300000000000001</v>
      </c>
      <c r="H105" s="40">
        <f>F105/E105*100</f>
        <v>82.23140495867767</v>
      </c>
      <c r="I105" s="56">
        <f t="shared" si="34"/>
        <v>-25.1</v>
      </c>
      <c r="J105" s="56">
        <f aca="true" t="shared" si="36" ref="J105:J110">F105/D105*100</f>
        <v>44.22222222222222</v>
      </c>
      <c r="K105" s="56">
        <f>F105-13.4</f>
        <v>6.499999999999998</v>
      </c>
      <c r="L105" s="135">
        <f>F105/13.4</f>
        <v>1.4850746268656716</v>
      </c>
      <c r="M105" s="40">
        <f>E105-серпень!E105</f>
        <v>3</v>
      </c>
      <c r="N105" s="40">
        <f>F105-серпень!F105</f>
        <v>2.669999999999998</v>
      </c>
      <c r="O105" s="53">
        <f t="shared" si="35"/>
        <v>-0.33000000000000185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152">
        <f>E8+E74+E105+E106</f>
        <v>363563.04</v>
      </c>
      <c r="F107" s="152">
        <f>F8+F74+F105+F106</f>
        <v>358069.7530000001</v>
      </c>
      <c r="G107" s="175">
        <f>F107-E107</f>
        <v>-5493.286999999895</v>
      </c>
      <c r="H107" s="51">
        <f>F107/E107*100</f>
        <v>98.489041405309</v>
      </c>
      <c r="I107" s="36">
        <f t="shared" si="34"/>
        <v>-148809.8469999999</v>
      </c>
      <c r="J107" s="36">
        <f t="shared" si="36"/>
        <v>70.64197355742866</v>
      </c>
      <c r="K107" s="36">
        <f>F107-358888.5</f>
        <v>-818.7469999999157</v>
      </c>
      <c r="L107" s="136">
        <f>F107/358888.5</f>
        <v>0.9977186591378662</v>
      </c>
      <c r="M107" s="22">
        <f>M8+M74+M105+M106</f>
        <v>40928.95</v>
      </c>
      <c r="N107" s="22">
        <f>N8+N74+N105+N106</f>
        <v>40506.653</v>
      </c>
      <c r="O107" s="55">
        <f t="shared" si="35"/>
        <v>-422.29699999999866</v>
      </c>
      <c r="P107" s="36">
        <f>N107/M107*100</f>
        <v>98.96821931664506</v>
      </c>
      <c r="Q107" s="36">
        <f>N107-39133.2</f>
        <v>1373.4530000000013</v>
      </c>
      <c r="R107" s="136">
        <f>N107/39133.2</f>
        <v>1.0350968742653297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153">
        <f>E10-E18+E96</f>
        <v>288254</v>
      </c>
      <c r="F108" s="153">
        <f>F10-F18+F96</f>
        <v>283396.06</v>
      </c>
      <c r="G108" s="153">
        <f>G10-G18+G96</f>
        <v>-4857.940000000007</v>
      </c>
      <c r="H108" s="72">
        <f>F108/E108*100</f>
        <v>98.3147016173236</v>
      </c>
      <c r="I108" s="52">
        <f t="shared" si="34"/>
        <v>-104817.14000000001</v>
      </c>
      <c r="J108" s="52">
        <f t="shared" si="36"/>
        <v>73.00010921833673</v>
      </c>
      <c r="K108" s="52">
        <f>F108-273558.9</f>
        <v>9837.159999999974</v>
      </c>
      <c r="L108" s="137">
        <f>F108/273558.9</f>
        <v>1.035959934039799</v>
      </c>
      <c r="M108" s="71">
        <f>M10-M18+M96</f>
        <v>32423.5</v>
      </c>
      <c r="N108" s="71">
        <f>N10-N18+N96</f>
        <v>32431.97</v>
      </c>
      <c r="O108" s="53">
        <f t="shared" si="35"/>
        <v>8.470000000001164</v>
      </c>
      <c r="P108" s="52">
        <f>N108/M108*100</f>
        <v>100.02612302805065</v>
      </c>
      <c r="Q108" s="52">
        <f>N108-30069.2</f>
        <v>2362.7700000000004</v>
      </c>
      <c r="R108" s="137">
        <f>N108/30069.2</f>
        <v>1.0785777473294933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153">
        <f>E107-E108</f>
        <v>75309.03999999998</v>
      </c>
      <c r="F109" s="153">
        <f>F107-F108</f>
        <v>74673.69300000009</v>
      </c>
      <c r="G109" s="176">
        <f>F109-E109</f>
        <v>-635.3469999998924</v>
      </c>
      <c r="H109" s="72">
        <f>F109/E109*100</f>
        <v>99.1563469671106</v>
      </c>
      <c r="I109" s="52">
        <f t="shared" si="34"/>
        <v>-43992.70699999988</v>
      </c>
      <c r="J109" s="52">
        <f t="shared" si="36"/>
        <v>62.927410791934456</v>
      </c>
      <c r="K109" s="52">
        <f>F109-85329.7</f>
        <v>-10656.00699999991</v>
      </c>
      <c r="L109" s="137">
        <f>F109/85329.7</f>
        <v>0.8751196007955037</v>
      </c>
      <c r="M109" s="71">
        <f>M107-M108</f>
        <v>8505.449999999997</v>
      </c>
      <c r="N109" s="71">
        <f>N107-N108</f>
        <v>8074.682999999997</v>
      </c>
      <c r="O109" s="53">
        <f t="shared" si="35"/>
        <v>-430.7669999999998</v>
      </c>
      <c r="P109" s="52">
        <f>N109/M109*100</f>
        <v>94.93540024337337</v>
      </c>
      <c r="Q109" s="52">
        <f>N109-9064</f>
        <v>-989.3170000000027</v>
      </c>
      <c r="R109" s="137">
        <f>N109/9064</f>
        <v>0.8908520520741392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283396.06</v>
      </c>
      <c r="G110" s="111">
        <f>F110-E110</f>
        <v>511.96000000002095</v>
      </c>
      <c r="H110" s="72">
        <f>F110/E110*100</f>
        <v>100.18097871177632</v>
      </c>
      <c r="I110" s="81">
        <f t="shared" si="34"/>
        <v>-104817.14000000001</v>
      </c>
      <c r="J110" s="52">
        <f t="shared" si="36"/>
        <v>73.00010921833673</v>
      </c>
      <c r="K110" s="52"/>
      <c r="L110" s="137"/>
      <c r="M110" s="72">
        <f>E110-серпень!E110</f>
        <v>32423.49999999997</v>
      </c>
      <c r="N110" s="71">
        <f>N108</f>
        <v>32431.97</v>
      </c>
      <c r="O110" s="63">
        <f t="shared" si="35"/>
        <v>8.470000000030268</v>
      </c>
      <c r="P110" s="52">
        <f>N110/M110*100</f>
        <v>100.02612302805073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-0.14</v>
      </c>
      <c r="G114" s="49">
        <f aca="true" t="shared" si="37" ref="G114:G126">F114-E114</f>
        <v>-0.14</v>
      </c>
      <c r="H114" s="40"/>
      <c r="I114" s="60">
        <f aca="true" t="shared" si="38" ref="I114:I125">F114-D114</f>
        <v>-0.14</v>
      </c>
      <c r="J114" s="60"/>
      <c r="K114" s="60">
        <f>F114-21.5</f>
        <v>-21.64</v>
      </c>
      <c r="L114" s="138">
        <f>F114/21.5</f>
        <v>-0.0065116279069767444</v>
      </c>
      <c r="M114" s="40">
        <f>E114-серпень!E114</f>
        <v>0</v>
      </c>
      <c r="N114" s="40">
        <f>F114-серпень!F114</f>
        <v>0.82</v>
      </c>
      <c r="O114" s="53"/>
      <c r="P114" s="60"/>
      <c r="Q114" s="60">
        <f>N114-0.9</f>
        <v>-0.08000000000000007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4">
        <v>1122.93</v>
      </c>
      <c r="G115" s="49">
        <f t="shared" si="37"/>
        <v>-1556.6699999999998</v>
      </c>
      <c r="H115" s="40">
        <f aca="true" t="shared" si="39" ref="H115:H126">F115/E115*100</f>
        <v>41.906627854903725</v>
      </c>
      <c r="I115" s="60">
        <f t="shared" si="38"/>
        <v>-2548.5699999999997</v>
      </c>
      <c r="J115" s="60">
        <f aca="true" t="shared" si="40" ref="J115:J121">F115/D115*100</f>
        <v>30.585046983521725</v>
      </c>
      <c r="K115" s="60">
        <f>F115-3077.6</f>
        <v>-1954.6699999999998</v>
      </c>
      <c r="L115" s="138">
        <f>F115/3077.6</f>
        <v>0.36487197816480377</v>
      </c>
      <c r="M115" s="40">
        <f>E115-серпень!E115</f>
        <v>327.5</v>
      </c>
      <c r="N115" s="40">
        <f>F115-серпень!F115</f>
        <v>137.41000000000008</v>
      </c>
      <c r="O115" s="53">
        <f aca="true" t="shared" si="41" ref="O115:O126">N115-M115</f>
        <v>-190.08999999999992</v>
      </c>
      <c r="P115" s="60">
        <f>N115/M115*100</f>
        <v>41.95725190839697</v>
      </c>
      <c r="Q115" s="60">
        <f>N115-150.5</f>
        <v>-13.089999999999918</v>
      </c>
      <c r="R115" s="138">
        <f>N115/150.5</f>
        <v>0.913023255813954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237.16</v>
      </c>
      <c r="G116" s="49">
        <f t="shared" si="37"/>
        <v>36.66</v>
      </c>
      <c r="H116" s="40">
        <f t="shared" si="39"/>
        <v>118.28428927680798</v>
      </c>
      <c r="I116" s="60">
        <f t="shared" si="38"/>
        <v>-30.940000000000026</v>
      </c>
      <c r="J116" s="60">
        <f t="shared" si="40"/>
        <v>88.45953002610966</v>
      </c>
      <c r="K116" s="60">
        <f>F116-200.1</f>
        <v>37.06</v>
      </c>
      <c r="L116" s="138">
        <f>F116/200.1</f>
        <v>1.185207396301849</v>
      </c>
      <c r="M116" s="40">
        <f>E116-серпень!E116</f>
        <v>22</v>
      </c>
      <c r="N116" s="40">
        <f>F116-серпень!F116</f>
        <v>29.840000000000003</v>
      </c>
      <c r="O116" s="53">
        <f t="shared" si="41"/>
        <v>7.840000000000003</v>
      </c>
      <c r="P116" s="60">
        <f>N116/M116*100</f>
        <v>135.63636363636365</v>
      </c>
      <c r="Q116" s="60">
        <f>N116-24.4</f>
        <v>5.440000000000005</v>
      </c>
      <c r="R116" s="138">
        <f>N116/24.4</f>
        <v>1.2229508196721313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1359.95</v>
      </c>
      <c r="G117" s="62">
        <f t="shared" si="37"/>
        <v>-1520.1499999999999</v>
      </c>
      <c r="H117" s="72">
        <f t="shared" si="39"/>
        <v>47.21884656782751</v>
      </c>
      <c r="I117" s="61">
        <f t="shared" si="38"/>
        <v>-2579.6499999999996</v>
      </c>
      <c r="J117" s="61">
        <f t="shared" si="40"/>
        <v>34.52000203066301</v>
      </c>
      <c r="K117" s="61">
        <f>F117-3299.2</f>
        <v>-1939.2499999999998</v>
      </c>
      <c r="L117" s="139">
        <f>F117/3299.2</f>
        <v>0.41220598933074687</v>
      </c>
      <c r="M117" s="62">
        <f>M115+M116+M114</f>
        <v>349.5</v>
      </c>
      <c r="N117" s="38">
        <f>SUM(N114:N116)</f>
        <v>168.07000000000008</v>
      </c>
      <c r="O117" s="61">
        <f t="shared" si="41"/>
        <v>-181.42999999999992</v>
      </c>
      <c r="P117" s="61">
        <f>N117/M117*100</f>
        <v>48.08869814020031</v>
      </c>
      <c r="Q117" s="61">
        <f>N117-175.8</f>
        <v>-7.729999999999933</v>
      </c>
      <c r="R117" s="139">
        <f>N117/175.8</f>
        <v>0.9560295790671222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314.15</v>
      </c>
      <c r="G119" s="49">
        <f t="shared" si="37"/>
        <v>126.64999999999998</v>
      </c>
      <c r="H119" s="40">
        <f t="shared" si="39"/>
        <v>167.54666666666665</v>
      </c>
      <c r="I119" s="60">
        <f t="shared" si="38"/>
        <v>46.94999999999999</v>
      </c>
      <c r="J119" s="60">
        <f t="shared" si="40"/>
        <v>117.57110778443113</v>
      </c>
      <c r="K119" s="60">
        <f>F119-174.4</f>
        <v>139.74999999999997</v>
      </c>
      <c r="L119" s="138">
        <f>F119/174.4</f>
        <v>1.8013188073394493</v>
      </c>
      <c r="M119" s="40">
        <f>E119-серпень!E119</f>
        <v>5</v>
      </c>
      <c r="N119" s="40">
        <f>F119-серпень!F119</f>
        <v>25.349999999999966</v>
      </c>
      <c r="O119" s="53">
        <f>N119-M119</f>
        <v>20.349999999999966</v>
      </c>
      <c r="P119" s="60">
        <f>N119/M119*100</f>
        <v>506.9999999999993</v>
      </c>
      <c r="Q119" s="60">
        <f>N119-1.4</f>
        <v>23.949999999999967</v>
      </c>
      <c r="R119" s="138">
        <f>N119/1.4</f>
        <v>18.107142857142833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59536.46</v>
      </c>
      <c r="G120" s="49">
        <f t="shared" si="37"/>
        <v>7023.860000000001</v>
      </c>
      <c r="H120" s="40">
        <f t="shared" si="39"/>
        <v>113.37557081538525</v>
      </c>
      <c r="I120" s="53">
        <f t="shared" si="38"/>
        <v>-12439.530000000006</v>
      </c>
      <c r="J120" s="60">
        <f t="shared" si="40"/>
        <v>82.7171116368111</v>
      </c>
      <c r="K120" s="60">
        <f>F120-50659.1</f>
        <v>8877.36</v>
      </c>
      <c r="L120" s="138">
        <f>F120/50659.1</f>
        <v>1.1752372229273713</v>
      </c>
      <c r="M120" s="40">
        <f>E120-серпень!E120</f>
        <v>3100</v>
      </c>
      <c r="N120" s="40">
        <f>F120-серпень!F120</f>
        <v>3421.8300000000017</v>
      </c>
      <c r="O120" s="53">
        <f t="shared" si="41"/>
        <v>321.83000000000175</v>
      </c>
      <c r="P120" s="60">
        <f aca="true" t="shared" si="42" ref="P120:P125">N120/M120*100</f>
        <v>110.38161290322586</v>
      </c>
      <c r="Q120" s="60">
        <f>N120-3034.9</f>
        <v>386.93000000000166</v>
      </c>
      <c r="R120" s="138">
        <f>N120/3034.9</f>
        <v>1.127493492372072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1754.73</v>
      </c>
      <c r="G121" s="49">
        <f t="shared" si="37"/>
        <v>31.730000000000018</v>
      </c>
      <c r="H121" s="40">
        <f t="shared" si="39"/>
        <v>101.84155542658155</v>
      </c>
      <c r="I121" s="60">
        <f t="shared" si="38"/>
        <v>-2995.27</v>
      </c>
      <c r="J121" s="60">
        <f t="shared" si="40"/>
        <v>36.94168421052632</v>
      </c>
      <c r="K121" s="60">
        <f>F121-1289.6</f>
        <v>465.1300000000001</v>
      </c>
      <c r="L121" s="138">
        <f>F121/1289.6</f>
        <v>1.3606777295285362</v>
      </c>
      <c r="M121" s="40">
        <f>E121-серпень!E121</f>
        <v>0</v>
      </c>
      <c r="N121" s="40">
        <f>F121-серпень!F121</f>
        <v>0.049999999999954525</v>
      </c>
      <c r="O121" s="53">
        <f t="shared" si="41"/>
        <v>0.049999999999954525</v>
      </c>
      <c r="P121" s="60" t="e">
        <f t="shared" si="42"/>
        <v>#DIV/0!</v>
      </c>
      <c r="Q121" s="60">
        <f>N121-167.3</f>
        <v>-167.25000000000006</v>
      </c>
      <c r="R121" s="138">
        <f>N121/167.3</f>
        <v>0.00029886431560044544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12928.3-0.87</f>
        <v>12927.429999999998</v>
      </c>
      <c r="F122" s="174">
        <v>2393.24</v>
      </c>
      <c r="G122" s="49">
        <f t="shared" si="37"/>
        <v>-10534.189999999999</v>
      </c>
      <c r="H122" s="40">
        <f t="shared" si="39"/>
        <v>18.51288307111313</v>
      </c>
      <c r="I122" s="60">
        <f t="shared" si="38"/>
        <v>-20683.89</v>
      </c>
      <c r="J122" s="60">
        <f>F122/D122*100</f>
        <v>10.370613676830697</v>
      </c>
      <c r="K122" s="60">
        <f>F122-22303.9</f>
        <v>-19910.660000000003</v>
      </c>
      <c r="L122" s="138">
        <f>F122/22303.9</f>
        <v>0.10730141365411429</v>
      </c>
      <c r="M122" s="40">
        <f>E122-серпень!E122</f>
        <v>3313.4299999999985</v>
      </c>
      <c r="N122" s="40">
        <f>F122-серпень!F122</f>
        <v>101.44999999999982</v>
      </c>
      <c r="O122" s="53">
        <f t="shared" si="41"/>
        <v>-3211.9799999999987</v>
      </c>
      <c r="P122" s="60">
        <f t="shared" si="42"/>
        <v>3.0617818997232433</v>
      </c>
      <c r="Q122" s="60">
        <f>N122-7566.7</f>
        <v>-7465.25</v>
      </c>
      <c r="R122" s="138">
        <f>N122/7566.7</f>
        <v>0.013407429923216174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1074.91</v>
      </c>
      <c r="G123" s="49">
        <f t="shared" si="37"/>
        <v>-356.30999999999995</v>
      </c>
      <c r="H123" s="40">
        <f t="shared" si="39"/>
        <v>75.10445633794944</v>
      </c>
      <c r="I123" s="60">
        <f t="shared" si="38"/>
        <v>-925.0899999999999</v>
      </c>
      <c r="J123" s="60">
        <f>F123/D123*100</f>
        <v>53.7455</v>
      </c>
      <c r="K123" s="60">
        <f>F123-1660.3</f>
        <v>-585.3899999999999</v>
      </c>
      <c r="L123" s="138">
        <f>F123/1660.3</f>
        <v>0.647419141119075</v>
      </c>
      <c r="M123" s="40">
        <f>E123-серпень!E123</f>
        <v>189.58999999999992</v>
      </c>
      <c r="N123" s="40">
        <f>F123-серпень!F123</f>
        <v>210.29000000000008</v>
      </c>
      <c r="O123" s="53">
        <f t="shared" si="41"/>
        <v>20.70000000000016</v>
      </c>
      <c r="P123" s="60">
        <f t="shared" si="42"/>
        <v>110.9182973785538</v>
      </c>
      <c r="Q123" s="60">
        <f>N123-20.2</f>
        <v>190.0900000000001</v>
      </c>
      <c r="R123" s="138">
        <f>N123/20.2</f>
        <v>10.410396039603965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68781.75</v>
      </c>
      <c r="F124" s="173">
        <f>F120+F121+F122+F123+F119</f>
        <v>65073.490000000005</v>
      </c>
      <c r="G124" s="62">
        <f t="shared" si="37"/>
        <v>-3708.2599999999948</v>
      </c>
      <c r="H124" s="72">
        <f t="shared" si="39"/>
        <v>94.60865709290618</v>
      </c>
      <c r="I124" s="61">
        <f t="shared" si="38"/>
        <v>-36996.83</v>
      </c>
      <c r="J124" s="61">
        <f>F124/D124*100</f>
        <v>63.75358674294349</v>
      </c>
      <c r="K124" s="61">
        <f>F124-76087.4</f>
        <v>-11013.909999999989</v>
      </c>
      <c r="L124" s="139">
        <f>F124/76087.4</f>
        <v>0.8552465979912576</v>
      </c>
      <c r="M124" s="62">
        <f>M120+M121+M122+M123+M119</f>
        <v>6608.019999999999</v>
      </c>
      <c r="N124" s="62">
        <f>N120+N121+N122+N123+N119</f>
        <v>3758.9700000000016</v>
      </c>
      <c r="O124" s="61">
        <f t="shared" si="41"/>
        <v>-2849.049999999997</v>
      </c>
      <c r="P124" s="61">
        <f t="shared" si="42"/>
        <v>56.8849670551845</v>
      </c>
      <c r="Q124" s="61">
        <f>N124-10790.5</f>
        <v>-7031.529999999999</v>
      </c>
      <c r="R124" s="139">
        <f>N124/10790.5</f>
        <v>0.3483592048561236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24.17</v>
      </c>
      <c r="G125" s="49">
        <f t="shared" si="37"/>
        <v>-2.9899999999999984</v>
      </c>
      <c r="H125" s="40">
        <f t="shared" si="39"/>
        <v>88.99116347569957</v>
      </c>
      <c r="I125" s="60">
        <f t="shared" si="38"/>
        <v>-19.33</v>
      </c>
      <c r="J125" s="60">
        <f>F125/D125*100</f>
        <v>55.5632183908046</v>
      </c>
      <c r="K125" s="60">
        <f>F125-111.8</f>
        <v>-87.63</v>
      </c>
      <c r="L125" s="138">
        <f>F125/111.8</f>
        <v>0.21618962432915922</v>
      </c>
      <c r="M125" s="40">
        <f>E125-серпень!E125</f>
        <v>4</v>
      </c>
      <c r="N125" s="40">
        <f>F125-серпень!F125</f>
        <v>10.000000000000002</v>
      </c>
      <c r="O125" s="53">
        <f t="shared" si="41"/>
        <v>6.000000000000002</v>
      </c>
      <c r="P125" s="60">
        <f t="shared" si="42"/>
        <v>250.00000000000006</v>
      </c>
      <c r="Q125" s="60">
        <f>N125-0</f>
        <v>10.000000000000002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7368.88</v>
      </c>
      <c r="G128" s="49">
        <f aca="true" t="shared" si="43" ref="G128:G135">F128-E128</f>
        <v>650.3800000000001</v>
      </c>
      <c r="H128" s="40">
        <f>F128/E128*100</f>
        <v>109.6804346208231</v>
      </c>
      <c r="I128" s="60">
        <f aca="true" t="shared" si="44" ref="I128:I135">F128-D128</f>
        <v>-1331.12</v>
      </c>
      <c r="J128" s="60">
        <f>F128/D128*100</f>
        <v>84.69977011494252</v>
      </c>
      <c r="K128" s="60">
        <f>F128-8715.2</f>
        <v>-1346.3200000000006</v>
      </c>
      <c r="L128" s="138">
        <f>F128/8715.2</f>
        <v>0.8455204699834771</v>
      </c>
      <c r="M128" s="40">
        <f>E128-серпень!E128</f>
        <v>1</v>
      </c>
      <c r="N128" s="40">
        <f>F128-серпень!F128</f>
        <v>5.359999999999673</v>
      </c>
      <c r="O128" s="53">
        <f aca="true" t="shared" si="45" ref="O128:O135">N128-M128</f>
        <v>4.359999999999673</v>
      </c>
      <c r="P128" s="60">
        <f>N128/M128*100</f>
        <v>535.9999999999673</v>
      </c>
      <c r="Q128" s="60">
        <f>N128-35</f>
        <v>-29.640000000000327</v>
      </c>
      <c r="R128" s="162">
        <f>N128/35</f>
        <v>0.15314285714284778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1.08</v>
      </c>
      <c r="G129" s="49">
        <f t="shared" si="43"/>
        <v>1.08</v>
      </c>
      <c r="H129" s="40"/>
      <c r="I129" s="60">
        <f t="shared" si="44"/>
        <v>1.08</v>
      </c>
      <c r="J129" s="60"/>
      <c r="K129" s="60">
        <f>F129-1</f>
        <v>0.08000000000000007</v>
      </c>
      <c r="L129" s="138">
        <f>F129/1</f>
        <v>1.08</v>
      </c>
      <c r="M129" s="40">
        <f>E129-серпень!E129</f>
        <v>0</v>
      </c>
      <c r="N129" s="40">
        <f>F129-серпень!F129</f>
        <v>0.2300000000000001</v>
      </c>
      <c r="O129" s="53">
        <f t="shared" si="45"/>
        <v>0.2300000000000001</v>
      </c>
      <c r="P129" s="60"/>
      <c r="Q129" s="60">
        <f>N129-0.7</f>
        <v>-0.46999999999999986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7413.61</v>
      </c>
      <c r="G130" s="62">
        <f t="shared" si="43"/>
        <v>660.75</v>
      </c>
      <c r="H130" s="72">
        <f>F130/E130*100</f>
        <v>109.78474305701585</v>
      </c>
      <c r="I130" s="61">
        <f t="shared" si="44"/>
        <v>-1337.090000000001</v>
      </c>
      <c r="J130" s="61">
        <f>F130/D130*100</f>
        <v>84.72019381306637</v>
      </c>
      <c r="K130" s="61">
        <f>F130-8836.4</f>
        <v>-1422.79</v>
      </c>
      <c r="L130" s="139">
        <f>G130/8836.4</f>
        <v>0.07477592684803766</v>
      </c>
      <c r="M130" s="62">
        <f>M125+M128+M129+M127</f>
        <v>5</v>
      </c>
      <c r="N130" s="62">
        <f>N125+N128+N129+N127</f>
        <v>15.589999999999675</v>
      </c>
      <c r="O130" s="61">
        <f t="shared" si="45"/>
        <v>10.589999999999675</v>
      </c>
      <c r="P130" s="61">
        <f>N130/M130*100</f>
        <v>311.79999999999353</v>
      </c>
      <c r="Q130" s="61">
        <f>N130-35.8</f>
        <v>-20.21000000000032</v>
      </c>
      <c r="R130" s="137">
        <f>N130/35.8</f>
        <v>0.43547486033518645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31.86</v>
      </c>
      <c r="G131" s="49">
        <f>F131-E131</f>
        <v>8.41</v>
      </c>
      <c r="H131" s="40">
        <f>F131/E131*100</f>
        <v>135.863539445629</v>
      </c>
      <c r="I131" s="60">
        <f>F131-D131</f>
        <v>1.8599999999999994</v>
      </c>
      <c r="J131" s="60">
        <f>F131/D131*100</f>
        <v>106.2</v>
      </c>
      <c r="K131" s="60">
        <f>F131-25.4</f>
        <v>6.460000000000001</v>
      </c>
      <c r="L131" s="138">
        <f>F131/25.4</f>
        <v>1.2543307086614173</v>
      </c>
      <c r="M131" s="40">
        <f>E131-серпень!E131</f>
        <v>7</v>
      </c>
      <c r="N131" s="40">
        <f>F131-серпень!F131</f>
        <v>9.239999999999998</v>
      </c>
      <c r="O131" s="53">
        <f>N131-M131</f>
        <v>2.2399999999999984</v>
      </c>
      <c r="P131" s="60">
        <f>N131/M131*100</f>
        <v>131.99999999999997</v>
      </c>
      <c r="Q131" s="60">
        <f>N131-7.6</f>
        <v>1.6399999999999988</v>
      </c>
      <c r="R131" s="138">
        <f>N131/7.6</f>
        <v>1.2157894736842103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78438.16</v>
      </c>
      <c r="F134" s="31">
        <f>F117+F131+F124+F130+F133+F132</f>
        <v>73878.91</v>
      </c>
      <c r="G134" s="50">
        <f t="shared" si="43"/>
        <v>-4559.25</v>
      </c>
      <c r="H134" s="51">
        <f>F134/E134*100</f>
        <v>94.187459267275</v>
      </c>
      <c r="I134" s="36">
        <f t="shared" si="44"/>
        <v>-40911.71000000001</v>
      </c>
      <c r="J134" s="36">
        <f>F134/D134*100</f>
        <v>64.359709878734</v>
      </c>
      <c r="K134" s="36">
        <f>F134-88248.3</f>
        <v>-14369.39</v>
      </c>
      <c r="L134" s="136">
        <f>F134/88248.3</f>
        <v>0.8371709143405596</v>
      </c>
      <c r="M134" s="31">
        <f>M117+M131+M124+M130+M133+M132</f>
        <v>6969.519999999999</v>
      </c>
      <c r="N134" s="31">
        <f>N117+N131+N124+N130+N133+N132</f>
        <v>3951.8700000000013</v>
      </c>
      <c r="O134" s="36">
        <f t="shared" si="45"/>
        <v>-3017.6499999999974</v>
      </c>
      <c r="P134" s="36">
        <f>N134/M134*100</f>
        <v>56.70218322065224</v>
      </c>
      <c r="Q134" s="36">
        <f>N134-11009.7</f>
        <v>-7057.83</v>
      </c>
      <c r="R134" s="136">
        <f>N134/11009.7</f>
        <v>0.358944385405597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442001.19999999995</v>
      </c>
      <c r="F135" s="31">
        <f>F107+F134</f>
        <v>431948.66300000006</v>
      </c>
      <c r="G135" s="50">
        <f t="shared" si="43"/>
        <v>-10052.536999999895</v>
      </c>
      <c r="H135" s="51">
        <f>F135/E135*100</f>
        <v>97.7256765366248</v>
      </c>
      <c r="I135" s="36">
        <f t="shared" si="44"/>
        <v>-189721.5569999999</v>
      </c>
      <c r="J135" s="36">
        <f>F135/D135*100</f>
        <v>69.48196151329238</v>
      </c>
      <c r="K135" s="36">
        <f>F135-447136.8</f>
        <v>-15188.13699999993</v>
      </c>
      <c r="L135" s="136">
        <f>F135/447136.8</f>
        <v>0.9660324603119226</v>
      </c>
      <c r="M135" s="22">
        <f>M107+M134</f>
        <v>47898.469999999994</v>
      </c>
      <c r="N135" s="22">
        <f>N107+N134</f>
        <v>44458.523</v>
      </c>
      <c r="O135" s="36">
        <f t="shared" si="45"/>
        <v>-3439.946999999993</v>
      </c>
      <c r="P135" s="36">
        <f>N135/M135*100</f>
        <v>92.81825285859863</v>
      </c>
      <c r="Q135" s="36">
        <f>N135-50142.9</f>
        <v>-5684.377</v>
      </c>
      <c r="R135" s="136">
        <f>N135/50142.9</f>
        <v>0.8866364530172767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10"/>
      <c r="H138" s="210"/>
      <c r="I138" s="210"/>
      <c r="J138" s="210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41912</v>
      </c>
      <c r="D139" s="39">
        <v>4136.8</v>
      </c>
      <c r="N139" s="211"/>
      <c r="O139" s="211"/>
    </row>
    <row r="140" spans="3:15" ht="15.75">
      <c r="C140" s="120">
        <v>41911</v>
      </c>
      <c r="D140" s="39">
        <v>4937.4</v>
      </c>
      <c r="F140" s="4" t="s">
        <v>166</v>
      </c>
      <c r="G140" s="179" t="s">
        <v>151</v>
      </c>
      <c r="H140" s="179"/>
      <c r="I140" s="115">
        <f>9020596.53/1000</f>
        <v>9020.596529999999</v>
      </c>
      <c r="J140" s="180" t="s">
        <v>161</v>
      </c>
      <c r="K140" s="180"/>
      <c r="L140" s="180"/>
      <c r="M140" s="180"/>
      <c r="N140" s="211"/>
      <c r="O140" s="211"/>
    </row>
    <row r="141" spans="3:15" ht="15.75">
      <c r="C141" s="120">
        <v>41908</v>
      </c>
      <c r="D141" s="39">
        <v>1468</v>
      </c>
      <c r="G141" s="212" t="s">
        <v>155</v>
      </c>
      <c r="H141" s="212"/>
      <c r="I141" s="112">
        <v>0</v>
      </c>
      <c r="J141" s="213" t="s">
        <v>162</v>
      </c>
      <c r="K141" s="213"/>
      <c r="L141" s="213"/>
      <c r="M141" s="213"/>
      <c r="N141" s="211"/>
      <c r="O141" s="211"/>
    </row>
    <row r="142" spans="7:13" ht="15.75" customHeight="1">
      <c r="G142" s="179" t="s">
        <v>148</v>
      </c>
      <c r="H142" s="179"/>
      <c r="I142" s="112">
        <v>0</v>
      </c>
      <c r="J142" s="180" t="s">
        <v>163</v>
      </c>
      <c r="K142" s="180"/>
      <c r="L142" s="180"/>
      <c r="M142" s="180"/>
    </row>
    <row r="143" spans="2:13" ht="18.75" customHeight="1">
      <c r="B143" s="214" t="s">
        <v>160</v>
      </c>
      <c r="C143" s="215"/>
      <c r="D143" s="117">
        <f>121201109.21/1000</f>
        <v>121201.10921</v>
      </c>
      <c r="E143" s="80"/>
      <c r="F143" s="100" t="s">
        <v>147</v>
      </c>
      <c r="G143" s="179" t="s">
        <v>149</v>
      </c>
      <c r="H143" s="179"/>
      <c r="I143" s="116">
        <f>112180512.68/1000</f>
        <v>112180.51268000001</v>
      </c>
      <c r="J143" s="180" t="s">
        <v>164</v>
      </c>
      <c r="K143" s="180"/>
      <c r="L143" s="180"/>
      <c r="M143" s="180"/>
    </row>
    <row r="144" spans="7:12" ht="9.75" customHeight="1">
      <c r="G144" s="216"/>
      <c r="H144" s="216"/>
      <c r="I144" s="98"/>
      <c r="J144" s="99"/>
      <c r="K144" s="99"/>
      <c r="L144" s="99"/>
    </row>
    <row r="145" spans="2:12" ht="22.5" customHeight="1">
      <c r="B145" s="217" t="s">
        <v>169</v>
      </c>
      <c r="C145" s="218"/>
      <c r="D145" s="119">
        <f>17426016.57/1000</f>
        <v>17426.01657</v>
      </c>
      <c r="E145" s="77" t="s">
        <v>104</v>
      </c>
      <c r="G145" s="216"/>
      <c r="H145" s="216"/>
      <c r="I145" s="98"/>
      <c r="J145" s="99"/>
      <c r="K145" s="99"/>
      <c r="L145" s="99"/>
    </row>
    <row r="146" spans="4:15" ht="15.75">
      <c r="D146" s="114"/>
      <c r="N146" s="216"/>
      <c r="O146" s="216"/>
    </row>
    <row r="147" spans="4:15" ht="15.75">
      <c r="D147" s="113"/>
      <c r="I147" s="39"/>
      <c r="N147" s="219"/>
      <c r="O147" s="219"/>
    </row>
    <row r="148" spans="14:15" ht="15.75">
      <c r="N148" s="216"/>
      <c r="O148" s="216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2" sqref="G10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266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261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259</v>
      </c>
      <c r="H4" s="200" t="s">
        <v>260</v>
      </c>
      <c r="I4" s="202" t="s">
        <v>188</v>
      </c>
      <c r="J4" s="204" t="s">
        <v>189</v>
      </c>
      <c r="K4" s="206" t="s">
        <v>264</v>
      </c>
      <c r="L4" s="207"/>
      <c r="M4" s="194"/>
      <c r="N4" s="181" t="s">
        <v>267</v>
      </c>
      <c r="O4" s="202" t="s">
        <v>136</v>
      </c>
      <c r="P4" s="202" t="s">
        <v>135</v>
      </c>
      <c r="Q4" s="206" t="s">
        <v>265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258</v>
      </c>
      <c r="F5" s="197"/>
      <c r="G5" s="199"/>
      <c r="H5" s="201"/>
      <c r="I5" s="203"/>
      <c r="J5" s="205"/>
      <c r="K5" s="208"/>
      <c r="L5" s="209"/>
      <c r="M5" s="151" t="s">
        <v>262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635.8</v>
      </c>
      <c r="G102" s="144"/>
      <c r="H102" s="146"/>
      <c r="I102" s="145"/>
      <c r="J102" s="145"/>
      <c r="K102" s="148">
        <f>F102-421.2</f>
        <v>214.59999999999997</v>
      </c>
      <c r="L102" s="149">
        <f>F102/421.2</f>
        <v>1.5094966761633428</v>
      </c>
      <c r="M102" s="40">
        <f>E102-липень!E102</f>
        <v>0</v>
      </c>
      <c r="N102" s="40">
        <f>F102-липень!F102</f>
        <v>165.89999999999998</v>
      </c>
      <c r="O102" s="53"/>
      <c r="P102" s="60"/>
      <c r="Q102" s="60">
        <f>N102-95.6</f>
        <v>70.29999999999998</v>
      </c>
      <c r="R102" s="138">
        <f>N102/95.6</f>
        <v>1.7353556485355648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10"/>
      <c r="H138" s="210"/>
      <c r="I138" s="210"/>
      <c r="J138" s="210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211"/>
      <c r="O139" s="211"/>
    </row>
    <row r="140" spans="3:15" ht="15.75">
      <c r="C140" s="120">
        <v>41879</v>
      </c>
      <c r="D140" s="39">
        <v>3653.6</v>
      </c>
      <c r="F140" s="4" t="s">
        <v>166</v>
      </c>
      <c r="G140" s="179" t="s">
        <v>151</v>
      </c>
      <c r="H140" s="179"/>
      <c r="I140" s="115">
        <v>13829.857960000001</v>
      </c>
      <c r="J140" s="180" t="s">
        <v>161</v>
      </c>
      <c r="K140" s="180"/>
      <c r="L140" s="180"/>
      <c r="M140" s="180"/>
      <c r="N140" s="211"/>
      <c r="O140" s="211"/>
    </row>
    <row r="141" spans="3:15" ht="15.75">
      <c r="C141" s="120">
        <v>41878</v>
      </c>
      <c r="D141" s="39">
        <v>1194.3</v>
      </c>
      <c r="G141" s="212" t="s">
        <v>155</v>
      </c>
      <c r="H141" s="212"/>
      <c r="I141" s="112">
        <v>0</v>
      </c>
      <c r="J141" s="213" t="s">
        <v>162</v>
      </c>
      <c r="K141" s="213"/>
      <c r="L141" s="213"/>
      <c r="M141" s="213"/>
      <c r="N141" s="211"/>
      <c r="O141" s="211"/>
    </row>
    <row r="142" spans="7:13" ht="15.75" customHeight="1">
      <c r="G142" s="179" t="s">
        <v>148</v>
      </c>
      <c r="H142" s="179"/>
      <c r="I142" s="112">
        <v>0</v>
      </c>
      <c r="J142" s="180" t="s">
        <v>163</v>
      </c>
      <c r="K142" s="180"/>
      <c r="L142" s="180"/>
      <c r="M142" s="180"/>
    </row>
    <row r="143" spans="2:13" ht="18.75" customHeight="1">
      <c r="B143" s="214" t="s">
        <v>160</v>
      </c>
      <c r="C143" s="215"/>
      <c r="D143" s="117">
        <v>127799.14</v>
      </c>
      <c r="E143" s="80"/>
      <c r="F143" s="100" t="s">
        <v>147</v>
      </c>
      <c r="G143" s="179" t="s">
        <v>149</v>
      </c>
      <c r="H143" s="179"/>
      <c r="I143" s="116">
        <v>113969.28</v>
      </c>
      <c r="J143" s="180" t="s">
        <v>164</v>
      </c>
      <c r="K143" s="180"/>
      <c r="L143" s="180"/>
      <c r="M143" s="180"/>
    </row>
    <row r="144" spans="7:12" ht="9.75" customHeight="1">
      <c r="G144" s="216"/>
      <c r="H144" s="216"/>
      <c r="I144" s="98"/>
      <c r="J144" s="99"/>
      <c r="K144" s="99"/>
      <c r="L144" s="99"/>
    </row>
    <row r="145" spans="2:12" ht="22.5" customHeight="1">
      <c r="B145" s="217" t="s">
        <v>169</v>
      </c>
      <c r="C145" s="218"/>
      <c r="D145" s="119">
        <v>18493.9</v>
      </c>
      <c r="E145" s="77" t="s">
        <v>104</v>
      </c>
      <c r="G145" s="216"/>
      <c r="H145" s="216"/>
      <c r="I145" s="98"/>
      <c r="J145" s="99"/>
      <c r="K145" s="99"/>
      <c r="L145" s="99"/>
    </row>
    <row r="146" spans="4:15" ht="15.75">
      <c r="D146" s="114"/>
      <c r="N146" s="216"/>
      <c r="O146" s="216"/>
    </row>
    <row r="147" spans="4:15" ht="15.75">
      <c r="D147" s="113"/>
      <c r="I147" s="39"/>
      <c r="N147" s="219"/>
      <c r="O147" s="219"/>
    </row>
    <row r="148" spans="14:15" ht="15.75">
      <c r="N148" s="216"/>
      <c r="O148" s="216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256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252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249</v>
      </c>
      <c r="H4" s="200" t="s">
        <v>250</v>
      </c>
      <c r="I4" s="202" t="s">
        <v>188</v>
      </c>
      <c r="J4" s="204" t="s">
        <v>189</v>
      </c>
      <c r="K4" s="206" t="s">
        <v>254</v>
      </c>
      <c r="L4" s="207"/>
      <c r="M4" s="194"/>
      <c r="N4" s="181" t="s">
        <v>257</v>
      </c>
      <c r="O4" s="202" t="s">
        <v>136</v>
      </c>
      <c r="P4" s="202" t="s">
        <v>135</v>
      </c>
      <c r="Q4" s="206" t="s">
        <v>255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248</v>
      </c>
      <c r="F5" s="197"/>
      <c r="G5" s="199"/>
      <c r="H5" s="201"/>
      <c r="I5" s="203"/>
      <c r="J5" s="205"/>
      <c r="K5" s="208"/>
      <c r="L5" s="209"/>
      <c r="M5" s="151" t="s">
        <v>251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210"/>
      <c r="H138" s="210"/>
      <c r="I138" s="210"/>
      <c r="J138" s="210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211"/>
      <c r="O139" s="211"/>
    </row>
    <row r="140" spans="3:15" ht="15.75">
      <c r="C140" s="120">
        <v>41850</v>
      </c>
      <c r="D140" s="39">
        <v>4320</v>
      </c>
      <c r="F140" s="4" t="s">
        <v>166</v>
      </c>
      <c r="G140" s="179" t="s">
        <v>151</v>
      </c>
      <c r="H140" s="179"/>
      <c r="I140" s="115">
        <f>13825221.96/1000</f>
        <v>13825.22196</v>
      </c>
      <c r="J140" s="180" t="s">
        <v>161</v>
      </c>
      <c r="K140" s="180"/>
      <c r="L140" s="180"/>
      <c r="M140" s="180"/>
      <c r="N140" s="211"/>
      <c r="O140" s="211"/>
    </row>
    <row r="141" spans="3:15" ht="15.75">
      <c r="C141" s="120">
        <v>41849</v>
      </c>
      <c r="D141" s="39">
        <v>4403.7</v>
      </c>
      <c r="G141" s="212" t="s">
        <v>155</v>
      </c>
      <c r="H141" s="212"/>
      <c r="I141" s="112">
        <v>0</v>
      </c>
      <c r="J141" s="213" t="s">
        <v>162</v>
      </c>
      <c r="K141" s="213"/>
      <c r="L141" s="213"/>
      <c r="M141" s="213"/>
      <c r="N141" s="211"/>
      <c r="O141" s="211"/>
    </row>
    <row r="142" spans="7:13" ht="15.75" customHeight="1">
      <c r="G142" s="179" t="s">
        <v>148</v>
      </c>
      <c r="H142" s="179"/>
      <c r="I142" s="112">
        <f>'[1]залишки  (2)'!$G$8/1000</f>
        <v>0</v>
      </c>
      <c r="J142" s="180" t="s">
        <v>163</v>
      </c>
      <c r="K142" s="180"/>
      <c r="L142" s="180"/>
      <c r="M142" s="180"/>
    </row>
    <row r="143" spans="2:13" ht="18.75" customHeight="1">
      <c r="B143" s="214" t="s">
        <v>160</v>
      </c>
      <c r="C143" s="215"/>
      <c r="D143" s="117">
        <f>120856761.09/1000</f>
        <v>120856.76109</v>
      </c>
      <c r="E143" s="80"/>
      <c r="F143" s="100" t="s">
        <v>147</v>
      </c>
      <c r="G143" s="179" t="s">
        <v>149</v>
      </c>
      <c r="H143" s="179"/>
      <c r="I143" s="116">
        <f>107031539.13/1000</f>
        <v>107031.53912999999</v>
      </c>
      <c r="J143" s="180" t="s">
        <v>164</v>
      </c>
      <c r="K143" s="180"/>
      <c r="L143" s="180"/>
      <c r="M143" s="180"/>
    </row>
    <row r="144" spans="7:12" ht="9.75" customHeight="1">
      <c r="G144" s="216"/>
      <c r="H144" s="216"/>
      <c r="I144" s="98"/>
      <c r="J144" s="99"/>
      <c r="K144" s="99"/>
      <c r="L144" s="99"/>
    </row>
    <row r="145" spans="2:12" ht="22.5" customHeight="1">
      <c r="B145" s="217" t="s">
        <v>169</v>
      </c>
      <c r="C145" s="218"/>
      <c r="D145" s="119">
        <f>26199804.73/1000</f>
        <v>26199.80473</v>
      </c>
      <c r="E145" s="77" t="s">
        <v>104</v>
      </c>
      <c r="G145" s="216"/>
      <c r="H145" s="216"/>
      <c r="I145" s="98"/>
      <c r="J145" s="99"/>
      <c r="K145" s="99"/>
      <c r="L145" s="99"/>
    </row>
    <row r="146" spans="4:15" ht="15.75">
      <c r="D146" s="114"/>
      <c r="N146" s="216"/>
      <c r="O146" s="216"/>
    </row>
    <row r="147" spans="4:15" ht="15.75">
      <c r="D147" s="113"/>
      <c r="I147" s="39"/>
      <c r="N147" s="219"/>
      <c r="O147" s="219"/>
    </row>
    <row r="148" spans="14:15" ht="15.75">
      <c r="N148" s="216"/>
      <c r="O148" s="216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246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243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238</v>
      </c>
      <c r="H4" s="200" t="s">
        <v>239</v>
      </c>
      <c r="I4" s="202" t="s">
        <v>188</v>
      </c>
      <c r="J4" s="204" t="s">
        <v>189</v>
      </c>
      <c r="K4" s="206" t="s">
        <v>240</v>
      </c>
      <c r="L4" s="207"/>
      <c r="M4" s="194"/>
      <c r="N4" s="181" t="s">
        <v>247</v>
      </c>
      <c r="O4" s="202" t="s">
        <v>136</v>
      </c>
      <c r="P4" s="202" t="s">
        <v>135</v>
      </c>
      <c r="Q4" s="206" t="s">
        <v>242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237</v>
      </c>
      <c r="F5" s="197"/>
      <c r="G5" s="199"/>
      <c r="H5" s="201"/>
      <c r="I5" s="203"/>
      <c r="J5" s="205"/>
      <c r="K5" s="208"/>
      <c r="L5" s="209"/>
      <c r="M5" s="151" t="s">
        <v>241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10"/>
      <c r="H138" s="210"/>
      <c r="I138" s="210"/>
      <c r="J138" s="210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211"/>
      <c r="O139" s="211"/>
    </row>
    <row r="140" spans="3:15" ht="15.75">
      <c r="C140" s="120">
        <v>41816</v>
      </c>
      <c r="D140" s="39">
        <v>4277.2</v>
      </c>
      <c r="F140" s="4" t="s">
        <v>166</v>
      </c>
      <c r="G140" s="179" t="s">
        <v>151</v>
      </c>
      <c r="H140" s="179"/>
      <c r="I140" s="115">
        <f>'[1]залишки  (2)'!$G$9/1000</f>
        <v>8909.73221</v>
      </c>
      <c r="J140" s="180" t="s">
        <v>161</v>
      </c>
      <c r="K140" s="180"/>
      <c r="L140" s="180"/>
      <c r="M140" s="180"/>
      <c r="N140" s="211"/>
      <c r="O140" s="211"/>
    </row>
    <row r="141" spans="3:15" ht="15.75">
      <c r="C141" s="120">
        <v>41815</v>
      </c>
      <c r="D141" s="39">
        <v>1877.7</v>
      </c>
      <c r="G141" s="212" t="s">
        <v>155</v>
      </c>
      <c r="H141" s="212"/>
      <c r="I141" s="112">
        <v>0</v>
      </c>
      <c r="J141" s="213" t="s">
        <v>162</v>
      </c>
      <c r="K141" s="213"/>
      <c r="L141" s="213"/>
      <c r="M141" s="213"/>
      <c r="N141" s="211"/>
      <c r="O141" s="211"/>
    </row>
    <row r="142" spans="7:13" ht="15.75" customHeight="1">
      <c r="G142" s="179" t="s">
        <v>148</v>
      </c>
      <c r="H142" s="179"/>
      <c r="I142" s="112">
        <f>'[1]залишки  (2)'!$G$8/1000</f>
        <v>0</v>
      </c>
      <c r="J142" s="180" t="s">
        <v>163</v>
      </c>
      <c r="K142" s="180"/>
      <c r="L142" s="180"/>
      <c r="M142" s="180"/>
    </row>
    <row r="143" spans="2:13" ht="18.75" customHeight="1">
      <c r="B143" s="214" t="s">
        <v>160</v>
      </c>
      <c r="C143" s="215"/>
      <c r="D143" s="117">
        <v>117976.29</v>
      </c>
      <c r="E143" s="80"/>
      <c r="F143" s="100" t="s">
        <v>147</v>
      </c>
      <c r="G143" s="179" t="s">
        <v>149</v>
      </c>
      <c r="H143" s="179"/>
      <c r="I143" s="116">
        <v>104151.07</v>
      </c>
      <c r="J143" s="180" t="s">
        <v>164</v>
      </c>
      <c r="K143" s="180"/>
      <c r="L143" s="180"/>
      <c r="M143" s="180"/>
    </row>
    <row r="144" spans="7:12" ht="9.75" customHeight="1">
      <c r="G144" s="216"/>
      <c r="H144" s="216"/>
      <c r="I144" s="98"/>
      <c r="J144" s="99"/>
      <c r="K144" s="99"/>
      <c r="L144" s="99"/>
    </row>
    <row r="145" spans="2:12" ht="22.5" customHeight="1">
      <c r="B145" s="217" t="s">
        <v>169</v>
      </c>
      <c r="C145" s="218"/>
      <c r="D145" s="119">
        <v>41386</v>
      </c>
      <c r="E145" s="77" t="s">
        <v>104</v>
      </c>
      <c r="G145" s="216"/>
      <c r="H145" s="216"/>
      <c r="I145" s="98"/>
      <c r="J145" s="99"/>
      <c r="K145" s="99"/>
      <c r="L145" s="99"/>
    </row>
    <row r="146" spans="4:15" ht="15.75">
      <c r="D146" s="114"/>
      <c r="N146" s="216"/>
      <c r="O146" s="216"/>
    </row>
    <row r="147" spans="4:15" ht="15.75">
      <c r="D147" s="113"/>
      <c r="I147" s="39"/>
      <c r="N147" s="219"/>
      <c r="O147" s="219"/>
    </row>
    <row r="148" spans="14:15" ht="15.75">
      <c r="N148" s="216"/>
      <c r="O148" s="216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235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233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229</v>
      </c>
      <c r="H4" s="200" t="s">
        <v>230</v>
      </c>
      <c r="I4" s="202" t="s">
        <v>188</v>
      </c>
      <c r="J4" s="204" t="s">
        <v>189</v>
      </c>
      <c r="K4" s="206" t="s">
        <v>231</v>
      </c>
      <c r="L4" s="207"/>
      <c r="M4" s="194"/>
      <c r="N4" s="181" t="s">
        <v>236</v>
      </c>
      <c r="O4" s="202" t="s">
        <v>136</v>
      </c>
      <c r="P4" s="202" t="s">
        <v>135</v>
      </c>
      <c r="Q4" s="206" t="s">
        <v>234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228</v>
      </c>
      <c r="F5" s="197"/>
      <c r="G5" s="199"/>
      <c r="H5" s="201"/>
      <c r="I5" s="203"/>
      <c r="J5" s="205"/>
      <c r="K5" s="208"/>
      <c r="L5" s="209"/>
      <c r="M5" s="151" t="s">
        <v>232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210"/>
      <c r="H137" s="210"/>
      <c r="I137" s="210"/>
      <c r="J137" s="21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211"/>
      <c r="O138" s="211"/>
    </row>
    <row r="139" spans="3:15" ht="15.75">
      <c r="C139" s="120">
        <v>41788</v>
      </c>
      <c r="D139" s="39">
        <v>5993.3</v>
      </c>
      <c r="F139" s="4" t="s">
        <v>166</v>
      </c>
      <c r="G139" s="179" t="s">
        <v>151</v>
      </c>
      <c r="H139" s="179"/>
      <c r="I139" s="115">
        <v>13825.22196</v>
      </c>
      <c r="J139" s="180" t="s">
        <v>161</v>
      </c>
      <c r="K139" s="180"/>
      <c r="L139" s="180"/>
      <c r="M139" s="180"/>
      <c r="N139" s="211"/>
      <c r="O139" s="211"/>
    </row>
    <row r="140" spans="3:15" ht="15.75">
      <c r="C140" s="120">
        <v>41787</v>
      </c>
      <c r="D140" s="39">
        <v>2595.2</v>
      </c>
      <c r="G140" s="212" t="s">
        <v>155</v>
      </c>
      <c r="H140" s="212"/>
      <c r="I140" s="112">
        <v>0</v>
      </c>
      <c r="J140" s="213" t="s">
        <v>162</v>
      </c>
      <c r="K140" s="213"/>
      <c r="L140" s="213"/>
      <c r="M140" s="213"/>
      <c r="N140" s="211"/>
      <c r="O140" s="211"/>
    </row>
    <row r="141" spans="7:13" ht="15.75" customHeight="1">
      <c r="G141" s="179" t="s">
        <v>148</v>
      </c>
      <c r="H141" s="179"/>
      <c r="I141" s="112">
        <v>0</v>
      </c>
      <c r="J141" s="180" t="s">
        <v>163</v>
      </c>
      <c r="K141" s="180"/>
      <c r="L141" s="180"/>
      <c r="M141" s="180"/>
    </row>
    <row r="142" spans="2:13" ht="18.75" customHeight="1">
      <c r="B142" s="214" t="s">
        <v>160</v>
      </c>
      <c r="C142" s="215"/>
      <c r="D142" s="117">
        <v>118982.48</v>
      </c>
      <c r="E142" s="80"/>
      <c r="F142" s="100" t="s">
        <v>147</v>
      </c>
      <c r="G142" s="179" t="s">
        <v>149</v>
      </c>
      <c r="H142" s="179"/>
      <c r="I142" s="116">
        <v>105157.26</v>
      </c>
      <c r="J142" s="180" t="s">
        <v>164</v>
      </c>
      <c r="K142" s="180"/>
      <c r="L142" s="180"/>
      <c r="M142" s="180"/>
    </row>
    <row r="143" spans="7:12" ht="9.75" customHeight="1">
      <c r="G143" s="216"/>
      <c r="H143" s="216"/>
      <c r="I143" s="98"/>
      <c r="J143" s="99"/>
      <c r="K143" s="99"/>
      <c r="L143" s="99"/>
    </row>
    <row r="144" spans="2:12" ht="22.5" customHeight="1">
      <c r="B144" s="217" t="s">
        <v>169</v>
      </c>
      <c r="C144" s="218"/>
      <c r="D144" s="119">
        <v>27359.4</v>
      </c>
      <c r="E144" s="77" t="s">
        <v>104</v>
      </c>
      <c r="G144" s="216"/>
      <c r="H144" s="216"/>
      <c r="I144" s="98"/>
      <c r="J144" s="99"/>
      <c r="K144" s="99"/>
      <c r="L144" s="99"/>
    </row>
    <row r="145" spans="4:15" ht="15.75">
      <c r="D145" s="114"/>
      <c r="N145" s="216"/>
      <c r="O145" s="216"/>
    </row>
    <row r="146" spans="4:15" ht="15.75">
      <c r="D146" s="113"/>
      <c r="I146" s="39"/>
      <c r="N146" s="219"/>
      <c r="O146" s="219"/>
    </row>
    <row r="147" spans="14:15" ht="15.75">
      <c r="N147" s="216"/>
      <c r="O147" s="216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226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221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217</v>
      </c>
      <c r="H4" s="200" t="s">
        <v>218</v>
      </c>
      <c r="I4" s="202" t="s">
        <v>188</v>
      </c>
      <c r="J4" s="204" t="s">
        <v>189</v>
      </c>
      <c r="K4" s="206" t="s">
        <v>219</v>
      </c>
      <c r="L4" s="207"/>
      <c r="M4" s="194"/>
      <c r="N4" s="181" t="s">
        <v>227</v>
      </c>
      <c r="O4" s="202" t="s">
        <v>136</v>
      </c>
      <c r="P4" s="202" t="s">
        <v>135</v>
      </c>
      <c r="Q4" s="206" t="s">
        <v>222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216</v>
      </c>
      <c r="F5" s="197"/>
      <c r="G5" s="199"/>
      <c r="H5" s="201"/>
      <c r="I5" s="203"/>
      <c r="J5" s="205"/>
      <c r="K5" s="208"/>
      <c r="L5" s="209"/>
      <c r="M5" s="151" t="s">
        <v>220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10"/>
      <c r="H137" s="210"/>
      <c r="I137" s="210"/>
      <c r="J137" s="21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211"/>
      <c r="O138" s="211"/>
    </row>
    <row r="139" spans="3:15" ht="15.75">
      <c r="C139" s="120">
        <v>41758</v>
      </c>
      <c r="D139" s="39">
        <v>5440.9</v>
      </c>
      <c r="F139" s="4" t="s">
        <v>166</v>
      </c>
      <c r="G139" s="179" t="s">
        <v>151</v>
      </c>
      <c r="H139" s="179"/>
      <c r="I139" s="115">
        <v>13825.22</v>
      </c>
      <c r="J139" s="180" t="s">
        <v>161</v>
      </c>
      <c r="K139" s="180"/>
      <c r="L139" s="180"/>
      <c r="M139" s="180"/>
      <c r="N139" s="211"/>
      <c r="O139" s="211"/>
    </row>
    <row r="140" spans="3:15" ht="15.75">
      <c r="C140" s="120">
        <v>41757</v>
      </c>
      <c r="D140" s="39">
        <v>1923.2</v>
      </c>
      <c r="G140" s="212" t="s">
        <v>155</v>
      </c>
      <c r="H140" s="212"/>
      <c r="I140" s="112">
        <v>0</v>
      </c>
      <c r="J140" s="213" t="s">
        <v>162</v>
      </c>
      <c r="K140" s="213"/>
      <c r="L140" s="213"/>
      <c r="M140" s="213"/>
      <c r="N140" s="211"/>
      <c r="O140" s="211"/>
    </row>
    <row r="141" spans="7:13" ht="15.75" customHeight="1">
      <c r="G141" s="179" t="s">
        <v>148</v>
      </c>
      <c r="H141" s="179"/>
      <c r="I141" s="112">
        <v>0</v>
      </c>
      <c r="J141" s="180" t="s">
        <v>163</v>
      </c>
      <c r="K141" s="180"/>
      <c r="L141" s="180"/>
      <c r="M141" s="180"/>
    </row>
    <row r="142" spans="2:13" ht="18.75" customHeight="1">
      <c r="B142" s="214" t="s">
        <v>160</v>
      </c>
      <c r="C142" s="215"/>
      <c r="D142" s="117">
        <v>123251.48</v>
      </c>
      <c r="E142" s="80"/>
      <c r="F142" s="100" t="s">
        <v>147</v>
      </c>
      <c r="G142" s="179" t="s">
        <v>149</v>
      </c>
      <c r="H142" s="179"/>
      <c r="I142" s="116">
        <v>109426.25</v>
      </c>
      <c r="J142" s="180" t="s">
        <v>164</v>
      </c>
      <c r="K142" s="180"/>
      <c r="L142" s="180"/>
      <c r="M142" s="180"/>
    </row>
    <row r="143" spans="7:12" ht="9.75" customHeight="1">
      <c r="G143" s="216"/>
      <c r="H143" s="216"/>
      <c r="I143" s="98"/>
      <c r="J143" s="99"/>
      <c r="K143" s="99"/>
      <c r="L143" s="99"/>
    </row>
    <row r="144" spans="2:12" ht="22.5" customHeight="1">
      <c r="B144" s="217" t="s">
        <v>169</v>
      </c>
      <c r="C144" s="218"/>
      <c r="D144" s="119">
        <f>'[1]надх'!$B$52/1000</f>
        <v>0</v>
      </c>
      <c r="E144" s="77" t="s">
        <v>104</v>
      </c>
      <c r="G144" s="216"/>
      <c r="H144" s="216"/>
      <c r="I144" s="98"/>
      <c r="J144" s="99"/>
      <c r="K144" s="99"/>
      <c r="L144" s="99"/>
    </row>
    <row r="145" spans="4:15" ht="15.75">
      <c r="D145" s="114"/>
      <c r="N145" s="216"/>
      <c r="O145" s="216"/>
    </row>
    <row r="146" spans="4:15" ht="15.75">
      <c r="D146" s="113"/>
      <c r="I146" s="39"/>
      <c r="N146" s="219"/>
      <c r="O146" s="219"/>
    </row>
    <row r="147" spans="14:15" ht="15.75">
      <c r="N147" s="216"/>
      <c r="O147" s="216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2014-12-11T10:02:15Z</cp:lastPrinted>
  <dcterms:created xsi:type="dcterms:W3CDTF">2003-07-28T11:27:56Z</dcterms:created>
  <dcterms:modified xsi:type="dcterms:W3CDTF">2014-12-11T10:15:42Z</dcterms:modified>
  <cp:category/>
  <cp:version/>
  <cp:contentType/>
  <cp:contentStatus/>
</cp:coreProperties>
</file>